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ohnnynijenhuis/Mijn Drive/Nijenhuis Truck Solutions/Producten/eTruck Academy/Promotie/Lead Magnet/TCO calculator/"/>
    </mc:Choice>
  </mc:AlternateContent>
  <xr:revisionPtr revIDLastSave="0" documentId="8_{EA284373-98BC-CE40-AF07-31F7B4F9DC0E}" xr6:coauthVersionLast="47" xr6:coauthVersionMax="47" xr10:uidLastSave="{00000000-0000-0000-0000-000000000000}"/>
  <workbookProtection workbookAlgorithmName="SHA-512" workbookHashValue="YHUcMyHRuUIKWy8hA9C7CdL61pyX93nweKxcr50n/5ps/E+QQP9OoBZdN5hVAiywSbHPMOKvgBXHLWiyzwTCxQ==" workbookSaltValue="k6nKC4lQ7zm2xEgOP7+r7w==" workbookSpinCount="100000" lockStructure="1"/>
  <bookViews>
    <workbookView xWindow="74800" yWindow="-13480" windowWidth="38000" windowHeight="30040" xr2:uid="{76201A96-8052-C849-8DD9-B3235A73E83E}"/>
  </bookViews>
  <sheets>
    <sheet name="Kosten rekentool" sheetId="1" r:id="rId1"/>
  </sheets>
  <definedNames>
    <definedName name="_xlnm.Print_Area" localSheetId="0">'Kosten rekentool'!$A$1:$N$111</definedName>
    <definedName name="Selectie">'Kosten rekentool'!$A$1:$M$98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8" i="1" l="1"/>
  <c r="I39" i="1"/>
  <c r="H9" i="1"/>
  <c r="H19" i="1"/>
  <c r="E19" i="1"/>
  <c r="H17" i="1" l="1"/>
  <c r="F29" i="1"/>
  <c r="E10" i="1"/>
  <c r="H10" i="1"/>
  <c r="H87" i="1"/>
  <c r="E87" i="1"/>
  <c r="H79" i="1"/>
  <c r="E90" i="1"/>
  <c r="H90" i="1"/>
  <c r="E17" i="1" l="1"/>
  <c r="K17" i="1" s="1"/>
  <c r="K19" i="1"/>
  <c r="E91" i="1"/>
  <c r="E92" i="1" s="1"/>
  <c r="F11" i="1"/>
  <c r="H91" i="1"/>
  <c r="H92" i="1" s="1"/>
  <c r="E80" i="1"/>
  <c r="E81" i="1" s="1"/>
  <c r="H80" i="1"/>
  <c r="H81" i="1" s="1"/>
  <c r="H82" i="1" s="1"/>
  <c r="E30" i="1"/>
  <c r="E26" i="1"/>
  <c r="E74" i="1" l="1"/>
  <c r="E75" i="1" s="1"/>
  <c r="L75" i="1" s="1"/>
  <c r="H30" i="1"/>
  <c r="H46" i="1" s="1"/>
  <c r="E68" i="1"/>
  <c r="E82" i="1"/>
  <c r="L82" i="1" s="1"/>
  <c r="L92" i="1"/>
  <c r="L87" i="1"/>
  <c r="I11" i="1"/>
  <c r="K13" i="1" s="1"/>
  <c r="E69" i="1"/>
  <c r="E70" i="1"/>
  <c r="E71" i="1" s="1"/>
  <c r="H70" i="1" l="1"/>
  <c r="H71" i="1" s="1"/>
  <c r="H69" i="1"/>
  <c r="H59" i="1"/>
  <c r="H51" i="1"/>
  <c r="H35" i="1"/>
  <c r="H36" i="1" s="1"/>
  <c r="H37" i="1" s="1"/>
  <c r="H39" i="1" s="1"/>
  <c r="H29" i="1"/>
  <c r="H68" i="1" s="1"/>
  <c r="H44" i="1" l="1"/>
  <c r="H49" i="1"/>
  <c r="H52" i="1" s="1"/>
  <c r="H40" i="1" l="1"/>
  <c r="H47" i="1" s="1"/>
  <c r="H58" i="1" s="1"/>
  <c r="K60" i="1" l="1"/>
  <c r="K56" i="1"/>
  <c r="L71" i="1" l="1"/>
  <c r="L94" i="1" s="1"/>
  <c r="K71" i="1"/>
  <c r="K94" i="1" s="1"/>
  <c r="D97" i="1" l="1"/>
  <c r="D104" i="1" l="1"/>
  <c r="D100" i="1"/>
  <c r="D101" i="1" s="1"/>
  <c r="B97" i="1"/>
  <c r="C99" i="1"/>
  <c r="E97" i="1"/>
  <c r="D103" i="1" l="1"/>
  <c r="D102" i="1"/>
</calcChain>
</file>

<file path=xl/sharedStrings.xml><?xml version="1.0" encoding="utf-8"?>
<sst xmlns="http://schemas.openxmlformats.org/spreadsheetml/2006/main" count="99" uniqueCount="88">
  <si>
    <t>DIESEL</t>
  </si>
  <si>
    <t>ELEKTRISCH</t>
  </si>
  <si>
    <t>VERSCHIL</t>
  </si>
  <si>
    <t>DUURDER</t>
  </si>
  <si>
    <t>GOEDKOPER</t>
  </si>
  <si>
    <t>Aanschafprijs</t>
  </si>
  <si>
    <t>Aanzetsubsidie</t>
  </si>
  <si>
    <t>MIA</t>
  </si>
  <si>
    <t>Netto investering</t>
  </si>
  <si>
    <t>Terug te verdienen verschil</t>
  </si>
  <si>
    <t>GEBRUIK</t>
  </si>
  <si>
    <t>Kilometers per dag</t>
  </si>
  <si>
    <t>Dagen per jaar</t>
  </si>
  <si>
    <t>Kilometers per jaar</t>
  </si>
  <si>
    <t>Aantal inzetsjaren</t>
  </si>
  <si>
    <t>Verbruik per km (1 op X)</t>
  </si>
  <si>
    <t>Verbruik per dag</t>
  </si>
  <si>
    <t>ENERGIE</t>
  </si>
  <si>
    <t>Kosten liter diesel</t>
  </si>
  <si>
    <t>Kosten kWh</t>
  </si>
  <si>
    <t>Kosten per km</t>
  </si>
  <si>
    <t>Kosten per jaar</t>
  </si>
  <si>
    <t>Kosten totale inzet</t>
  </si>
  <si>
    <t>ONDERHOUD</t>
  </si>
  <si>
    <t>Kosten per dag</t>
  </si>
  <si>
    <t>BELASTINGEN</t>
  </si>
  <si>
    <t>Eurovignet + Houderschapsbelasting per jaar</t>
  </si>
  <si>
    <t>Totaal tot invoering VWH (2027)</t>
  </si>
  <si>
    <t>Vrachtwagenheffing per km</t>
  </si>
  <si>
    <t>Vrachtwagenheffing per dag</t>
  </si>
  <si>
    <t>Vrachtwagenheffing per jaar</t>
  </si>
  <si>
    <t>Vrachtwagenheffing totale inzet</t>
  </si>
  <si>
    <t>Totaal</t>
  </si>
  <si>
    <t>IK VERDIEN</t>
  </si>
  <si>
    <t>HET KOST</t>
  </si>
  <si>
    <t>Startjaar</t>
  </si>
  <si>
    <t>Aanschafprijs lader</t>
  </si>
  <si>
    <t>Aanschafprijs infra</t>
  </si>
  <si>
    <t>Restwaarde</t>
  </si>
  <si>
    <t>Opbrengsten HBE's per kWh</t>
  </si>
  <si>
    <t>Vermogen lader</t>
  </si>
  <si>
    <t>Levensduur lader</t>
  </si>
  <si>
    <t>Levensduur infra</t>
  </si>
  <si>
    <t>Totaal aantal kWh's levensduur lader</t>
  </si>
  <si>
    <t>Totaal aantal kWh's levensduur infra</t>
  </si>
  <si>
    <t>Overhead lader</t>
  </si>
  <si>
    <t>Overhead laadinfra</t>
  </si>
  <si>
    <t>Aantal uren aan de stekker</t>
  </si>
  <si>
    <t>Minimaal vermogen lader</t>
  </si>
  <si>
    <t>AANSCHAF eTRUCK</t>
  </si>
  <si>
    <t>Aanschafsubsidie lader</t>
  </si>
  <si>
    <t>MIA lader</t>
  </si>
  <si>
    <t>Netto investering lader</t>
  </si>
  <si>
    <t>Overhead infra</t>
  </si>
  <si>
    <t>Kosten laadinfra looptijd eTruck</t>
  </si>
  <si>
    <t>Aantal kWh looptijd eTruck</t>
  </si>
  <si>
    <t>LADER</t>
  </si>
  <si>
    <t>INFRASTRUCTUUR</t>
  </si>
  <si>
    <t>LAADINFRASTRUCTUUR</t>
  </si>
  <si>
    <t>ETS2 per liter diesel</t>
  </si>
  <si>
    <t>Liters diesel vanaf 2027</t>
  </si>
  <si>
    <t>Extra kosten ETS2</t>
  </si>
  <si>
    <t>www.etruckacademy.nl</t>
  </si>
  <si>
    <t>Start VWH en ETS2</t>
  </si>
  <si>
    <t>Extra kosten:</t>
  </si>
  <si>
    <t>Hele looptijd eTruck:</t>
  </si>
  <si>
    <t>Per jaar:</t>
  </si>
  <si>
    <t>Per maand:</t>
  </si>
  <si>
    <t>Per kilometer:</t>
  </si>
  <si>
    <t>Goedkoper:</t>
  </si>
  <si>
    <t>Per werkdag:</t>
  </si>
  <si>
    <t>MEER OM MET EEN eTRUCK TE RIJDEN</t>
  </si>
  <si>
    <t>MET EEN eTRUCK</t>
  </si>
  <si>
    <t>Rente</t>
  </si>
  <si>
    <t>Aantal maanden</t>
  </si>
  <si>
    <t>Rente kosten</t>
  </si>
  <si>
    <t>FINANCIERING</t>
  </si>
  <si>
    <t>WA Casco</t>
  </si>
  <si>
    <t>VERZEKERING</t>
  </si>
  <si>
    <t>Reparatie &amp; Onderhoud</t>
  </si>
  <si>
    <t xml:space="preserve"> </t>
  </si>
  <si>
    <t>Versie: 13-08-2024</t>
  </si>
  <si>
    <t>Leer alles over eTrucks, laders en kostencalculaties</t>
  </si>
  <si>
    <t>Klik hier!</t>
  </si>
  <si>
    <t>nabespreken met een expert?</t>
  </si>
  <si>
    <t>Dat kan! Bovendien is het gratis!</t>
  </si>
  <si>
    <t xml:space="preserve">PLAN DIRECT JE AFSPRAAK VOORDAT DE AGENDA VOL ZIT. </t>
  </si>
  <si>
    <t>Wil je deze eTruck Academy® TCO Tool nog even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</si>
</sst>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€&quot;\ #,##0.00_);[Red]\(&quot;€&quot;\ #,##0.00\)"/>
    <numFmt numFmtId="44" formatCode="_(&quot;€&quot;\ * #,##0.00_);_(&quot;€&quot;\ * \(#,##0.00\);_(&quot;€&quot;\ * &quot;-&quot;??_);_(@_)"/>
    <numFmt numFmtId="164" formatCode="_(&quot;€&quot;\ * #,##0.000_);_(&quot;€&quot;\ * \(#,##0.000\);_(&quot;€&quot;\ * &quot;-&quot;??_);_(@_)"/>
    <numFmt numFmtId="165" formatCode="_(&quot;€&quot;\ * #,##0.0000_);_(&quot;€&quot;\ * \(#,##0.0000\);_(&quot;€&quot;\ * &quot;-&quot;??_);_(@_)"/>
    <numFmt numFmtId="166" formatCode="0.000%"/>
  </numFmts>
  <fonts count="27" x14ac:knownFonts="1">
    <font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12"/>
      <color rgb="FFFFFFFF"/>
      <name val="Calibri"/>
      <family val="2"/>
      <scheme val="minor"/>
    </font>
    <font>
      <b/>
      <sz val="20"/>
      <color rgb="FFFFFFFF"/>
      <name val="Calibri"/>
      <family val="2"/>
      <scheme val="minor"/>
    </font>
    <font>
      <sz val="12"/>
      <color rgb="FFFFFFFF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4"/>
      <color rgb="FFFF2600"/>
      <name val="Calibri"/>
      <family val="2"/>
      <scheme val="minor"/>
    </font>
    <font>
      <b/>
      <sz val="14"/>
      <color rgb="FF00B050"/>
      <name val="Calibri"/>
      <family val="2"/>
      <scheme val="minor"/>
    </font>
    <font>
      <u/>
      <sz val="12"/>
      <color rgb="FFFFFFFF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color theme="0" tint="-0.499984740745262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2"/>
      <color rgb="FFA893DE"/>
      <name val="Calibri"/>
      <family val="2"/>
      <scheme val="minor"/>
    </font>
    <font>
      <u/>
      <sz val="12"/>
      <color rgb="FFA893DE"/>
      <name val="Calibri"/>
      <family val="2"/>
      <scheme val="minor"/>
    </font>
    <font>
      <i/>
      <sz val="10"/>
      <color rgb="FF2D2343"/>
      <name val="Calibri"/>
      <family val="2"/>
      <scheme val="minor"/>
    </font>
    <font>
      <b/>
      <u/>
      <sz val="12"/>
      <color theme="0"/>
      <name val="Calibri"/>
      <family val="2"/>
      <scheme val="minor"/>
    </font>
    <font>
      <sz val="12"/>
      <color rgb="FF745EAB"/>
      <name val="Calibri"/>
      <family val="2"/>
      <scheme val="minor"/>
    </font>
    <font>
      <u/>
      <sz val="12"/>
      <color rgb="FF745EAB"/>
      <name val="Calibri"/>
      <family val="2"/>
      <scheme val="minor"/>
    </font>
    <font>
      <b/>
      <i/>
      <u/>
      <sz val="12"/>
      <color rgb="FF9C0006"/>
      <name val="Calibri"/>
      <family val="2"/>
      <scheme val="minor"/>
    </font>
    <font>
      <b/>
      <i/>
      <u/>
      <sz val="12"/>
      <color rgb="FF016100"/>
      <name val="Calibri"/>
      <family val="2"/>
      <scheme val="minor"/>
    </font>
    <font>
      <b/>
      <sz val="12"/>
      <color theme="0"/>
      <name val="Calibri"/>
      <family val="2"/>
      <scheme val="minor"/>
    </font>
    <font>
      <i/>
      <sz val="12"/>
      <color theme="0"/>
      <name val="Calibri (Hoofdtekst)"/>
    </font>
    <font>
      <u/>
      <sz val="12"/>
      <color theme="0"/>
      <name val="Calibri"/>
      <family val="2"/>
      <scheme val="minor"/>
    </font>
    <font>
      <i/>
      <sz val="12"/>
      <color theme="0"/>
      <name val="Calibri"/>
      <family val="2"/>
      <scheme val="minor"/>
    </font>
    <font>
      <b/>
      <u/>
      <sz val="12"/>
      <color theme="0"/>
      <name val="Calibri (Hoofdtekst)"/>
    </font>
  </fonts>
  <fills count="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6A219"/>
        <bgColor indexed="64"/>
      </patternFill>
    </fill>
    <fill>
      <patternFill patternType="solid">
        <fgColor rgb="FF2D2343"/>
        <bgColor indexed="64"/>
      </patternFill>
    </fill>
    <fill>
      <patternFill patternType="solid">
        <fgColor rgb="FFA893DE"/>
        <bgColor indexed="64"/>
      </patternFill>
    </fill>
    <fill>
      <patternFill patternType="solid">
        <fgColor rgb="FF745EAB"/>
        <bgColor indexed="64"/>
      </patternFill>
    </fill>
  </fills>
  <borders count="16">
    <border>
      <left/>
      <right/>
      <top/>
      <bottom/>
      <diagonal/>
    </border>
    <border>
      <left style="thick">
        <color rgb="FFF6A219"/>
      </left>
      <right/>
      <top style="thick">
        <color rgb="FFF6A219"/>
      </top>
      <bottom/>
      <diagonal/>
    </border>
    <border>
      <left/>
      <right style="thick">
        <color rgb="FFF6A219"/>
      </right>
      <top style="thick">
        <color rgb="FFF6A219"/>
      </top>
      <bottom/>
      <diagonal/>
    </border>
    <border>
      <left style="thick">
        <color rgb="FFF6A219"/>
      </left>
      <right/>
      <top/>
      <bottom/>
      <diagonal/>
    </border>
    <border>
      <left/>
      <right style="thick">
        <color rgb="FFF6A219"/>
      </right>
      <top/>
      <bottom/>
      <diagonal/>
    </border>
    <border>
      <left style="thick">
        <color rgb="FFF6A219"/>
      </left>
      <right/>
      <top/>
      <bottom style="thick">
        <color rgb="FFF6A219"/>
      </bottom>
      <diagonal/>
    </border>
    <border>
      <left/>
      <right style="thick">
        <color rgb="FFF6A219"/>
      </right>
      <top/>
      <bottom style="thick">
        <color rgb="FFF6A219"/>
      </bottom>
      <diagonal/>
    </border>
    <border>
      <left style="thick">
        <color rgb="FFF6A219"/>
      </left>
      <right style="thick">
        <color rgb="FFF6A219"/>
      </right>
      <top style="thick">
        <color rgb="FFF6A219"/>
      </top>
      <bottom/>
      <diagonal/>
    </border>
    <border>
      <left style="thick">
        <color rgb="FFF6A219"/>
      </left>
      <right style="thick">
        <color rgb="FFF6A219"/>
      </right>
      <top/>
      <bottom/>
      <diagonal/>
    </border>
    <border>
      <left style="thick">
        <color rgb="FFF6A219"/>
      </left>
      <right style="thick">
        <color rgb="FFF6A219"/>
      </right>
      <top/>
      <bottom style="thick">
        <color rgb="FFF6A219"/>
      </bottom>
      <diagonal/>
    </border>
    <border>
      <left style="thick">
        <color rgb="FFF6A219"/>
      </left>
      <right/>
      <top style="thick">
        <color rgb="FFF6A219"/>
      </top>
      <bottom style="thick">
        <color rgb="FFF6A219"/>
      </bottom>
      <diagonal/>
    </border>
    <border>
      <left/>
      <right/>
      <top style="thick">
        <color rgb="FFF6A219"/>
      </top>
      <bottom style="thick">
        <color rgb="FFF6A219"/>
      </bottom>
      <diagonal/>
    </border>
    <border>
      <left/>
      <right style="thick">
        <color rgb="FFF6A219"/>
      </right>
      <top style="thick">
        <color rgb="FFF6A219"/>
      </top>
      <bottom style="thick">
        <color rgb="FFF6A219"/>
      </bottom>
      <diagonal/>
    </border>
    <border>
      <left/>
      <right/>
      <top style="thick">
        <color rgb="FFF6A219"/>
      </top>
      <bottom/>
      <diagonal/>
    </border>
    <border>
      <left/>
      <right/>
      <top/>
      <bottom style="thick">
        <color rgb="FFF6A219"/>
      </bottom>
      <diagonal/>
    </border>
    <border>
      <left style="thick">
        <color rgb="FFF6A219"/>
      </left>
      <right style="thick">
        <color rgb="FFF6A219"/>
      </right>
      <top style="thick">
        <color rgb="FFF6A219"/>
      </top>
      <bottom style="thick">
        <color rgb="FFF6A219"/>
      </bottom>
      <diagonal/>
    </border>
  </borders>
  <cellStyleXfs count="4">
    <xf numFmtId="0" fontId="0" fillId="0" borderId="0"/>
    <xf numFmtId="0" fontId="2" fillId="0" borderId="0" applyNumberFormat="0" applyFill="0" applyBorder="0" applyAlignment="0" applyProtection="0"/>
    <xf numFmtId="44" fontId="10" fillId="0" borderId="0" applyFont="0" applyFill="0" applyBorder="0" applyAlignment="0" applyProtection="0"/>
    <xf numFmtId="9" fontId="10" fillId="0" borderId="0" applyFont="0" applyFill="0" applyBorder="0" applyAlignment="0" applyProtection="0"/>
  </cellStyleXfs>
  <cellXfs count="144">
    <xf numFmtId="0" fontId="0" fillId="0" borderId="0" xfId="0"/>
    <xf numFmtId="0" fontId="0" fillId="2" borderId="0" xfId="0" applyFill="1" applyProtection="1">
      <protection hidden="1"/>
    </xf>
    <xf numFmtId="0" fontId="0" fillId="3" borderId="0" xfId="0" applyFill="1" applyProtection="1">
      <protection hidden="1"/>
    </xf>
    <xf numFmtId="0" fontId="5" fillId="5" borderId="0" xfId="0" applyFont="1" applyFill="1" applyProtection="1">
      <protection hidden="1"/>
    </xf>
    <xf numFmtId="44" fontId="5" fillId="5" borderId="0" xfId="0" applyNumberFormat="1" applyFont="1" applyFill="1" applyProtection="1">
      <protection hidden="1"/>
    </xf>
    <xf numFmtId="44" fontId="0" fillId="5" borderId="0" xfId="0" applyNumberFormat="1" applyFill="1" applyProtection="1">
      <protection hidden="1"/>
    </xf>
    <xf numFmtId="0" fontId="0" fillId="5" borderId="0" xfId="0" applyFill="1" applyProtection="1">
      <protection hidden="1"/>
    </xf>
    <xf numFmtId="0" fontId="11" fillId="5" borderId="0" xfId="0" applyFont="1" applyFill="1" applyProtection="1">
      <protection hidden="1"/>
    </xf>
    <xf numFmtId="44" fontId="5" fillId="5" borderId="4" xfId="0" applyNumberFormat="1" applyFont="1" applyFill="1" applyBorder="1" applyProtection="1">
      <protection hidden="1"/>
    </xf>
    <xf numFmtId="44" fontId="5" fillId="5" borderId="3" xfId="0" applyNumberFormat="1" applyFont="1" applyFill="1" applyBorder="1" applyProtection="1">
      <protection hidden="1"/>
    </xf>
    <xf numFmtId="0" fontId="5" fillId="5" borderId="4" xfId="0" applyFont="1" applyFill="1" applyBorder="1" applyProtection="1">
      <protection hidden="1"/>
    </xf>
    <xf numFmtId="0" fontId="5" fillId="5" borderId="3" xfId="0" applyFont="1" applyFill="1" applyBorder="1" applyProtection="1">
      <protection hidden="1"/>
    </xf>
    <xf numFmtId="2" fontId="5" fillId="5" borderId="3" xfId="0" applyNumberFormat="1" applyFont="1" applyFill="1" applyBorder="1" applyProtection="1">
      <protection hidden="1"/>
    </xf>
    <xf numFmtId="0" fontId="0" fillId="5" borderId="3" xfId="0" applyFill="1" applyBorder="1" applyProtection="1">
      <protection hidden="1"/>
    </xf>
    <xf numFmtId="0" fontId="0" fillId="5" borderId="4" xfId="0" applyFill="1" applyBorder="1" applyProtection="1">
      <protection hidden="1"/>
    </xf>
    <xf numFmtId="164" fontId="5" fillId="5" borderId="4" xfId="2" applyNumberFormat="1" applyFont="1" applyFill="1" applyBorder="1" applyProtection="1">
      <protection hidden="1"/>
    </xf>
    <xf numFmtId="44" fontId="12" fillId="5" borderId="4" xfId="0" applyNumberFormat="1" applyFont="1" applyFill="1" applyBorder="1" applyProtection="1">
      <protection hidden="1"/>
    </xf>
    <xf numFmtId="3" fontId="5" fillId="5" borderId="3" xfId="0" applyNumberFormat="1" applyFont="1" applyFill="1" applyBorder="1" applyProtection="1">
      <protection hidden="1"/>
    </xf>
    <xf numFmtId="164" fontId="5" fillId="5" borderId="3" xfId="0" applyNumberFormat="1" applyFont="1" applyFill="1" applyBorder="1" applyProtection="1">
      <protection hidden="1"/>
    </xf>
    <xf numFmtId="44" fontId="5" fillId="5" borderId="5" xfId="0" applyNumberFormat="1" applyFont="1" applyFill="1" applyBorder="1" applyProtection="1">
      <protection hidden="1"/>
    </xf>
    <xf numFmtId="44" fontId="5" fillId="5" borderId="6" xfId="0" applyNumberFormat="1" applyFont="1" applyFill="1" applyBorder="1" applyProtection="1">
      <protection hidden="1"/>
    </xf>
    <xf numFmtId="0" fontId="11" fillId="5" borderId="3" xfId="0" applyFont="1" applyFill="1" applyBorder="1" applyProtection="1">
      <protection hidden="1"/>
    </xf>
    <xf numFmtId="0" fontId="11" fillId="5" borderId="4" xfId="0" applyFont="1" applyFill="1" applyBorder="1" applyProtection="1">
      <protection hidden="1"/>
    </xf>
    <xf numFmtId="164" fontId="11" fillId="5" borderId="4" xfId="2" applyNumberFormat="1" applyFont="1" applyFill="1" applyBorder="1" applyProtection="1">
      <protection hidden="1"/>
    </xf>
    <xf numFmtId="44" fontId="5" fillId="5" borderId="3" xfId="2" applyFont="1" applyFill="1" applyBorder="1" applyProtection="1">
      <protection hidden="1"/>
    </xf>
    <xf numFmtId="164" fontId="11" fillId="5" borderId="3" xfId="0" applyNumberFormat="1" applyFont="1" applyFill="1" applyBorder="1" applyProtection="1">
      <protection hidden="1"/>
    </xf>
    <xf numFmtId="44" fontId="11" fillId="5" borderId="3" xfId="2" applyFont="1" applyFill="1" applyBorder="1" applyProtection="1">
      <protection hidden="1"/>
    </xf>
    <xf numFmtId="3" fontId="11" fillId="5" borderId="3" xfId="0" applyNumberFormat="1" applyFont="1" applyFill="1" applyBorder="1" applyProtection="1">
      <protection hidden="1"/>
    </xf>
    <xf numFmtId="165" fontId="11" fillId="5" borderId="3" xfId="0" applyNumberFormat="1" applyFont="1" applyFill="1" applyBorder="1" applyProtection="1">
      <protection hidden="1"/>
    </xf>
    <xf numFmtId="44" fontId="7" fillId="5" borderId="3" xfId="0" applyNumberFormat="1" applyFont="1" applyFill="1" applyBorder="1" applyProtection="1">
      <protection hidden="1"/>
    </xf>
    <xf numFmtId="44" fontId="8" fillId="5" borderId="4" xfId="0" applyNumberFormat="1" applyFont="1" applyFill="1" applyBorder="1" applyProtection="1">
      <protection hidden="1"/>
    </xf>
    <xf numFmtId="44" fontId="13" fillId="5" borderId="3" xfId="0" applyNumberFormat="1" applyFont="1" applyFill="1" applyBorder="1" applyProtection="1">
      <protection hidden="1"/>
    </xf>
    <xf numFmtId="44" fontId="13" fillId="5" borderId="4" xfId="0" applyNumberFormat="1" applyFont="1" applyFill="1" applyBorder="1" applyProtection="1">
      <protection hidden="1"/>
    </xf>
    <xf numFmtId="44" fontId="5" fillId="4" borderId="3" xfId="0" applyNumberFormat="1" applyFont="1" applyFill="1" applyBorder="1" applyProtection="1">
      <protection locked="0"/>
    </xf>
    <xf numFmtId="0" fontId="11" fillId="4" borderId="3" xfId="0" applyFont="1" applyFill="1" applyBorder="1" applyProtection="1">
      <protection locked="0"/>
    </xf>
    <xf numFmtId="0" fontId="5" fillId="4" borderId="3" xfId="0" applyFont="1" applyFill="1" applyBorder="1" applyProtection="1">
      <protection locked="0"/>
    </xf>
    <xf numFmtId="164" fontId="5" fillId="4" borderId="3" xfId="0" applyNumberFormat="1" applyFont="1" applyFill="1" applyBorder="1" applyProtection="1">
      <protection locked="0"/>
    </xf>
    <xf numFmtId="44" fontId="1" fillId="6" borderId="11" xfId="0" applyNumberFormat="1" applyFont="1" applyFill="1" applyBorder="1" applyProtection="1">
      <protection hidden="1"/>
    </xf>
    <xf numFmtId="10" fontId="5" fillId="4" borderId="4" xfId="0" applyNumberFormat="1" applyFont="1" applyFill="1" applyBorder="1" applyProtection="1">
      <protection locked="0"/>
    </xf>
    <xf numFmtId="2" fontId="11" fillId="4" borderId="3" xfId="0" applyNumberFormat="1" applyFont="1" applyFill="1" applyBorder="1" applyProtection="1">
      <protection locked="0"/>
    </xf>
    <xf numFmtId="44" fontId="5" fillId="4" borderId="3" xfId="2" applyFont="1" applyFill="1" applyBorder="1" applyProtection="1">
      <protection locked="0"/>
    </xf>
    <xf numFmtId="0" fontId="5" fillId="4" borderId="3" xfId="2" applyNumberFormat="1" applyFont="1" applyFill="1" applyBorder="1" applyProtection="1">
      <protection locked="0"/>
    </xf>
    <xf numFmtId="0" fontId="11" fillId="4" borderId="3" xfId="2" applyNumberFormat="1" applyFont="1" applyFill="1" applyBorder="1" applyProtection="1">
      <protection locked="0"/>
    </xf>
    <xf numFmtId="2" fontId="5" fillId="5" borderId="4" xfId="0" applyNumberFormat="1" applyFont="1" applyFill="1" applyBorder="1" applyProtection="1">
      <protection hidden="1"/>
    </xf>
    <xf numFmtId="44" fontId="0" fillId="5" borderId="4" xfId="0" applyNumberFormat="1" applyFill="1" applyBorder="1" applyProtection="1">
      <protection hidden="1"/>
    </xf>
    <xf numFmtId="8" fontId="11" fillId="5" borderId="3" xfId="0" applyNumberFormat="1" applyFont="1" applyFill="1" applyBorder="1" applyProtection="1">
      <protection hidden="1"/>
    </xf>
    <xf numFmtId="44" fontId="11" fillId="5" borderId="3" xfId="0" applyNumberFormat="1" applyFont="1" applyFill="1" applyBorder="1" applyProtection="1">
      <protection hidden="1"/>
    </xf>
    <xf numFmtId="0" fontId="0" fillId="7" borderId="0" xfId="0" applyFill="1" applyProtection="1">
      <protection hidden="1"/>
    </xf>
    <xf numFmtId="0" fontId="5" fillId="7" borderId="1" xfId="0" applyFont="1" applyFill="1" applyBorder="1" applyProtection="1">
      <protection hidden="1"/>
    </xf>
    <xf numFmtId="0" fontId="3" fillId="7" borderId="13" xfId="0" applyFont="1" applyFill="1" applyBorder="1" applyAlignment="1" applyProtection="1">
      <alignment horizontal="centerContinuous"/>
      <protection hidden="1"/>
    </xf>
    <xf numFmtId="0" fontId="5" fillId="7" borderId="13" xfId="0" applyFont="1" applyFill="1" applyBorder="1" applyAlignment="1" applyProtection="1">
      <alignment horizontal="centerContinuous"/>
      <protection hidden="1"/>
    </xf>
    <xf numFmtId="0" fontId="5" fillId="7" borderId="13" xfId="0" applyFont="1" applyFill="1" applyBorder="1" applyProtection="1">
      <protection hidden="1"/>
    </xf>
    <xf numFmtId="0" fontId="5" fillId="7" borderId="2" xfId="0" applyFont="1" applyFill="1" applyBorder="1" applyProtection="1">
      <protection hidden="1"/>
    </xf>
    <xf numFmtId="0" fontId="5" fillId="7" borderId="3" xfId="0" applyFont="1" applyFill="1" applyBorder="1" applyProtection="1">
      <protection hidden="1"/>
    </xf>
    <xf numFmtId="0" fontId="5" fillId="7" borderId="0" xfId="0" applyFont="1" applyFill="1" applyProtection="1">
      <protection hidden="1"/>
    </xf>
    <xf numFmtId="44" fontId="5" fillId="7" borderId="0" xfId="0" applyNumberFormat="1" applyFont="1" applyFill="1" applyProtection="1">
      <protection hidden="1"/>
    </xf>
    <xf numFmtId="0" fontId="5" fillId="7" borderId="0" xfId="0" applyFont="1" applyFill="1" applyAlignment="1" applyProtection="1">
      <alignment horizontal="centerContinuous"/>
      <protection hidden="1"/>
    </xf>
    <xf numFmtId="0" fontId="5" fillId="7" borderId="4" xfId="0" applyFont="1" applyFill="1" applyBorder="1" applyAlignment="1" applyProtection="1">
      <alignment horizontal="centerContinuous"/>
      <protection hidden="1"/>
    </xf>
    <xf numFmtId="0" fontId="5" fillId="7" borderId="3" xfId="0" applyFont="1" applyFill="1" applyBorder="1" applyAlignment="1" applyProtection="1">
      <alignment horizontal="right"/>
      <protection hidden="1"/>
    </xf>
    <xf numFmtId="0" fontId="0" fillId="7" borderId="5" xfId="0" applyFill="1" applyBorder="1" applyProtection="1">
      <protection hidden="1"/>
    </xf>
    <xf numFmtId="0" fontId="0" fillId="7" borderId="14" xfId="0" applyFill="1" applyBorder="1" applyProtection="1">
      <protection hidden="1"/>
    </xf>
    <xf numFmtId="0" fontId="14" fillId="7" borderId="0" xfId="0" applyFont="1" applyFill="1" applyProtection="1">
      <protection hidden="1"/>
    </xf>
    <xf numFmtId="44" fontId="0" fillId="7" borderId="0" xfId="0" applyNumberFormat="1" applyFill="1" applyProtection="1">
      <protection hidden="1"/>
    </xf>
    <xf numFmtId="44" fontId="7" fillId="7" borderId="3" xfId="0" applyNumberFormat="1" applyFont="1" applyFill="1" applyBorder="1" applyProtection="1">
      <protection hidden="1"/>
    </xf>
    <xf numFmtId="44" fontId="8" fillId="7" borderId="4" xfId="0" applyNumberFormat="1" applyFont="1" applyFill="1" applyBorder="1" applyProtection="1">
      <protection hidden="1"/>
    </xf>
    <xf numFmtId="44" fontId="14" fillId="7" borderId="0" xfId="0" applyNumberFormat="1" applyFont="1" applyFill="1" applyProtection="1">
      <protection hidden="1"/>
    </xf>
    <xf numFmtId="44" fontId="3" fillId="7" borderId="0" xfId="0" applyNumberFormat="1" applyFont="1" applyFill="1" applyProtection="1">
      <protection hidden="1"/>
    </xf>
    <xf numFmtId="44" fontId="7" fillId="7" borderId="5" xfId="0" applyNumberFormat="1" applyFont="1" applyFill="1" applyBorder="1" applyProtection="1">
      <protection hidden="1"/>
    </xf>
    <xf numFmtId="44" fontId="8" fillId="7" borderId="6" xfId="0" applyNumberFormat="1" applyFont="1" applyFill="1" applyBorder="1" applyProtection="1">
      <protection hidden="1"/>
    </xf>
    <xf numFmtId="0" fontId="15" fillId="7" borderId="0" xfId="1" applyFont="1" applyFill="1" applyProtection="1">
      <protection hidden="1"/>
    </xf>
    <xf numFmtId="44" fontId="5" fillId="7" borderId="3" xfId="0" applyNumberFormat="1" applyFont="1" applyFill="1" applyBorder="1" applyProtection="1">
      <protection hidden="1"/>
    </xf>
    <xf numFmtId="44" fontId="5" fillId="7" borderId="4" xfId="0" applyNumberFormat="1" applyFont="1" applyFill="1" applyBorder="1" applyProtection="1">
      <protection hidden="1"/>
    </xf>
    <xf numFmtId="0" fontId="5" fillId="7" borderId="4" xfId="0" applyFont="1" applyFill="1" applyBorder="1" applyProtection="1">
      <protection hidden="1"/>
    </xf>
    <xf numFmtId="0" fontId="5" fillId="7" borderId="0" xfId="0" applyFont="1" applyFill="1" applyAlignment="1" applyProtection="1">
      <alignment horizontal="center" vertical="center" textRotation="90"/>
      <protection hidden="1"/>
    </xf>
    <xf numFmtId="0" fontId="11" fillId="7" borderId="0" xfId="0" applyFont="1" applyFill="1" applyAlignment="1" applyProtection="1">
      <alignment horizontal="center" textRotation="90"/>
      <protection hidden="1"/>
    </xf>
    <xf numFmtId="0" fontId="11" fillId="7" borderId="0" xfId="0" applyFont="1" applyFill="1" applyProtection="1">
      <protection hidden="1"/>
    </xf>
    <xf numFmtId="0" fontId="11" fillId="7" borderId="3" xfId="0" applyFont="1" applyFill="1" applyBorder="1" applyProtection="1">
      <protection hidden="1"/>
    </xf>
    <xf numFmtId="0" fontId="11" fillId="7" borderId="4" xfId="0" applyFont="1" applyFill="1" applyBorder="1" applyProtection="1">
      <protection hidden="1"/>
    </xf>
    <xf numFmtId="44" fontId="13" fillId="7" borderId="3" xfId="0" applyNumberFormat="1" applyFont="1" applyFill="1" applyBorder="1" applyProtection="1">
      <protection hidden="1"/>
    </xf>
    <xf numFmtId="44" fontId="13" fillId="7" borderId="4" xfId="0" applyNumberFormat="1" applyFont="1" applyFill="1" applyBorder="1" applyProtection="1">
      <protection hidden="1"/>
    </xf>
    <xf numFmtId="0" fontId="0" fillId="7" borderId="3" xfId="0" applyFill="1" applyBorder="1" applyProtection="1">
      <protection hidden="1"/>
    </xf>
    <xf numFmtId="0" fontId="0" fillId="7" borderId="4" xfId="0" applyFill="1" applyBorder="1" applyProtection="1">
      <protection hidden="1"/>
    </xf>
    <xf numFmtId="2" fontId="5" fillId="7" borderId="3" xfId="0" applyNumberFormat="1" applyFont="1" applyFill="1" applyBorder="1" applyProtection="1">
      <protection hidden="1"/>
    </xf>
    <xf numFmtId="8" fontId="11" fillId="7" borderId="3" xfId="0" applyNumberFormat="1" applyFont="1" applyFill="1" applyBorder="1" applyProtection="1">
      <protection hidden="1"/>
    </xf>
    <xf numFmtId="44" fontId="0" fillId="7" borderId="4" xfId="0" applyNumberFormat="1" applyFill="1" applyBorder="1" applyProtection="1">
      <protection hidden="1"/>
    </xf>
    <xf numFmtId="44" fontId="11" fillId="7" borderId="3" xfId="0" applyNumberFormat="1" applyFont="1" applyFill="1" applyBorder="1" applyProtection="1">
      <protection hidden="1"/>
    </xf>
    <xf numFmtId="1" fontId="0" fillId="7" borderId="0" xfId="0" applyNumberFormat="1" applyFill="1" applyProtection="1">
      <protection hidden="1"/>
    </xf>
    <xf numFmtId="0" fontId="16" fillId="7" borderId="0" xfId="0" applyFont="1" applyFill="1" applyProtection="1">
      <protection hidden="1"/>
    </xf>
    <xf numFmtId="0" fontId="6" fillId="7" borderId="0" xfId="0" applyFont="1" applyFill="1" applyProtection="1">
      <protection hidden="1"/>
    </xf>
    <xf numFmtId="0" fontId="6" fillId="7" borderId="3" xfId="0" applyFont="1" applyFill="1" applyBorder="1" applyProtection="1">
      <protection hidden="1"/>
    </xf>
    <xf numFmtId="0" fontId="6" fillId="7" borderId="4" xfId="0" applyFont="1" applyFill="1" applyBorder="1" applyProtection="1">
      <protection hidden="1"/>
    </xf>
    <xf numFmtId="0" fontId="18" fillId="7" borderId="0" xfId="0" applyFont="1" applyFill="1" applyProtection="1">
      <protection hidden="1"/>
    </xf>
    <xf numFmtId="1" fontId="18" fillId="7" borderId="0" xfId="0" applyNumberFormat="1" applyFont="1" applyFill="1" applyProtection="1">
      <protection hidden="1"/>
    </xf>
    <xf numFmtId="0" fontId="19" fillId="7" borderId="0" xfId="1" applyFont="1" applyFill="1" applyProtection="1">
      <protection hidden="1"/>
    </xf>
    <xf numFmtId="44" fontId="18" fillId="7" borderId="0" xfId="0" applyNumberFormat="1" applyFont="1" applyFill="1" applyProtection="1">
      <protection hidden="1"/>
    </xf>
    <xf numFmtId="9" fontId="11" fillId="5" borderId="0" xfId="0" applyNumberFormat="1" applyFont="1" applyFill="1" applyProtection="1">
      <protection hidden="1"/>
    </xf>
    <xf numFmtId="0" fontId="11" fillId="7" borderId="0" xfId="0" applyFont="1" applyFill="1" applyAlignment="1" applyProtection="1">
      <alignment horizontal="center" vertical="center" textRotation="90"/>
      <protection hidden="1"/>
    </xf>
    <xf numFmtId="164" fontId="11" fillId="7" borderId="4" xfId="2" applyNumberFormat="1" applyFont="1" applyFill="1" applyBorder="1" applyProtection="1">
      <protection hidden="1"/>
    </xf>
    <xf numFmtId="164" fontId="11" fillId="7" borderId="3" xfId="0" applyNumberFormat="1" applyFont="1" applyFill="1" applyBorder="1" applyProtection="1">
      <protection hidden="1"/>
    </xf>
    <xf numFmtId="0" fontId="11" fillId="5" borderId="15" xfId="0" applyFont="1" applyFill="1" applyBorder="1" applyAlignment="1" applyProtection="1">
      <alignment horizontal="center" vertical="center" textRotation="90"/>
      <protection hidden="1"/>
    </xf>
    <xf numFmtId="0" fontId="20" fillId="5" borderId="3" xfId="0" applyFont="1" applyFill="1" applyBorder="1" applyAlignment="1" applyProtection="1">
      <alignment horizontal="center"/>
      <protection hidden="1"/>
    </xf>
    <xf numFmtId="0" fontId="21" fillId="5" borderId="4" xfId="0" applyFont="1" applyFill="1" applyBorder="1" applyAlignment="1" applyProtection="1">
      <alignment horizontal="center"/>
      <protection hidden="1"/>
    </xf>
    <xf numFmtId="10" fontId="11" fillId="4" borderId="3" xfId="0" applyNumberFormat="1" applyFont="1" applyFill="1" applyBorder="1" applyProtection="1">
      <protection locked="0"/>
    </xf>
    <xf numFmtId="2" fontId="5" fillId="7" borderId="0" xfId="0" applyNumberFormat="1" applyFont="1" applyFill="1" applyProtection="1">
      <protection hidden="1"/>
    </xf>
    <xf numFmtId="44" fontId="7" fillId="7" borderId="0" xfId="0" applyNumberFormat="1" applyFont="1" applyFill="1" applyProtection="1">
      <protection hidden="1"/>
    </xf>
    <xf numFmtId="44" fontId="8" fillId="7" borderId="0" xfId="0" applyNumberFormat="1" applyFont="1" applyFill="1" applyProtection="1">
      <protection hidden="1"/>
    </xf>
    <xf numFmtId="44" fontId="0" fillId="2" borderId="0" xfId="0" applyNumberFormat="1" applyFill="1" applyProtection="1">
      <protection hidden="1"/>
    </xf>
    <xf numFmtId="166" fontId="0" fillId="2" borderId="0" xfId="3" applyNumberFormat="1" applyFont="1" applyFill="1" applyProtection="1">
      <protection hidden="1"/>
    </xf>
    <xf numFmtId="164" fontId="0" fillId="2" borderId="0" xfId="2" applyNumberFormat="1" applyFont="1" applyFill="1" applyProtection="1">
      <protection hidden="1"/>
    </xf>
    <xf numFmtId="0" fontId="9" fillId="7" borderId="0" xfId="1" applyFont="1" applyFill="1" applyBorder="1" applyAlignment="1" applyProtection="1">
      <alignment horizontal="center" vertical="center"/>
      <protection hidden="1"/>
    </xf>
    <xf numFmtId="0" fontId="5" fillId="7" borderId="0" xfId="0" applyFont="1" applyFill="1" applyAlignment="1" applyProtection="1">
      <alignment horizontal="center"/>
      <protection hidden="1"/>
    </xf>
    <xf numFmtId="0" fontId="3" fillId="5" borderId="1" xfId="0" applyFont="1" applyFill="1" applyBorder="1" applyAlignment="1" applyProtection="1">
      <alignment horizontal="center"/>
      <protection hidden="1"/>
    </xf>
    <xf numFmtId="0" fontId="3" fillId="5" borderId="2" xfId="0" applyFont="1" applyFill="1" applyBorder="1" applyAlignment="1" applyProtection="1">
      <alignment horizontal="center"/>
      <protection hidden="1"/>
    </xf>
    <xf numFmtId="0" fontId="4" fillId="5" borderId="10" xfId="0" applyFont="1" applyFill="1" applyBorder="1" applyAlignment="1" applyProtection="1">
      <alignment horizontal="center"/>
      <protection hidden="1"/>
    </xf>
    <xf numFmtId="0" fontId="4" fillId="5" borderId="11" xfId="0" applyFont="1" applyFill="1" applyBorder="1" applyAlignment="1" applyProtection="1">
      <alignment horizontal="center"/>
      <protection hidden="1"/>
    </xf>
    <xf numFmtId="0" fontId="4" fillId="5" borderId="12" xfId="0" applyFont="1" applyFill="1" applyBorder="1" applyAlignment="1" applyProtection="1">
      <alignment horizontal="center"/>
      <protection hidden="1"/>
    </xf>
    <xf numFmtId="0" fontId="5" fillId="5" borderId="7" xfId="0" applyFont="1" applyFill="1" applyBorder="1" applyAlignment="1" applyProtection="1">
      <alignment horizontal="center" vertical="center" textRotation="90"/>
      <protection hidden="1"/>
    </xf>
    <xf numFmtId="0" fontId="5" fillId="5" borderId="8" xfId="0" applyFont="1" applyFill="1" applyBorder="1" applyAlignment="1" applyProtection="1">
      <alignment horizontal="center" vertical="center" textRotation="90"/>
      <protection hidden="1"/>
    </xf>
    <xf numFmtId="0" fontId="5" fillId="5" borderId="9" xfId="0" applyFont="1" applyFill="1" applyBorder="1" applyAlignment="1" applyProtection="1">
      <alignment horizontal="center" vertical="center" textRotation="90"/>
      <protection hidden="1"/>
    </xf>
    <xf numFmtId="0" fontId="11" fillId="5" borderId="7" xfId="0" applyFont="1" applyFill="1" applyBorder="1" applyAlignment="1" applyProtection="1">
      <alignment horizontal="center" vertical="center" textRotation="90"/>
      <protection hidden="1"/>
    </xf>
    <xf numFmtId="0" fontId="11" fillId="5" borderId="8" xfId="0" applyFont="1" applyFill="1" applyBorder="1" applyAlignment="1" applyProtection="1">
      <alignment horizontal="center" vertical="center" textRotation="90"/>
      <protection hidden="1"/>
    </xf>
    <xf numFmtId="0" fontId="11" fillId="5" borderId="9" xfId="0" applyFont="1" applyFill="1" applyBorder="1" applyAlignment="1" applyProtection="1">
      <alignment horizontal="center" vertical="center" textRotation="90"/>
      <protection hidden="1"/>
    </xf>
    <xf numFmtId="9" fontId="0" fillId="2" borderId="0" xfId="0" applyNumberFormat="1" applyFill="1" applyProtection="1">
      <protection hidden="1"/>
    </xf>
    <xf numFmtId="9" fontId="5" fillId="5" borderId="4" xfId="3" applyFont="1" applyFill="1" applyBorder="1" applyProtection="1">
      <protection hidden="1"/>
    </xf>
    <xf numFmtId="0" fontId="11" fillId="7" borderId="0" xfId="0" applyFont="1" applyFill="1" applyBorder="1" applyProtection="1">
      <protection hidden="1"/>
    </xf>
    <xf numFmtId="165" fontId="11" fillId="7" borderId="0" xfId="0" applyNumberFormat="1" applyFont="1" applyFill="1" applyBorder="1" applyProtection="1">
      <protection hidden="1"/>
    </xf>
    <xf numFmtId="0" fontId="0" fillId="7" borderId="0" xfId="0" applyFill="1" applyBorder="1" applyProtection="1">
      <protection hidden="1"/>
    </xf>
    <xf numFmtId="0" fontId="23" fillId="7" borderId="14" xfId="0" applyFont="1" applyFill="1" applyBorder="1" applyAlignment="1" applyProtection="1">
      <alignment horizontal="center"/>
      <protection hidden="1"/>
    </xf>
    <xf numFmtId="0" fontId="5" fillId="7" borderId="0" xfId="0" applyFont="1" applyFill="1" applyAlignment="1" applyProtection="1">
      <protection hidden="1"/>
    </xf>
    <xf numFmtId="0" fontId="22" fillId="7" borderId="0" xfId="0" applyFont="1" applyFill="1" applyAlignment="1" applyProtection="1">
      <alignment horizontal="right"/>
      <protection hidden="1"/>
    </xf>
    <xf numFmtId="0" fontId="11" fillId="7" borderId="0" xfId="0" applyFont="1" applyFill="1" applyAlignment="1" applyProtection="1">
      <alignment horizontal="centerContinuous"/>
      <protection hidden="1"/>
    </xf>
    <xf numFmtId="0" fontId="5" fillId="7" borderId="4" xfId="0" applyFont="1" applyFill="1" applyBorder="1" applyAlignment="1" applyProtection="1">
      <alignment horizontal="center"/>
      <protection hidden="1"/>
    </xf>
    <xf numFmtId="0" fontId="0" fillId="7" borderId="0" xfId="0" applyFill="1" applyBorder="1" applyAlignment="1" applyProtection="1">
      <alignment horizontal="center"/>
      <protection hidden="1"/>
    </xf>
    <xf numFmtId="0" fontId="25" fillId="7" borderId="0" xfId="0" applyFont="1" applyFill="1" applyBorder="1" applyAlignment="1" applyProtection="1">
      <alignment horizontal="center"/>
      <protection hidden="1"/>
    </xf>
    <xf numFmtId="0" fontId="24" fillId="7" borderId="0" xfId="1" applyFont="1" applyFill="1" applyProtection="1">
      <protection hidden="1"/>
    </xf>
    <xf numFmtId="0" fontId="24" fillId="7" borderId="0" xfId="1" applyFont="1" applyFill="1" applyBorder="1" applyAlignment="1" applyProtection="1">
      <alignment horizontal="centerContinuous"/>
      <protection hidden="1"/>
    </xf>
    <xf numFmtId="0" fontId="17" fillId="7" borderId="0" xfId="1" applyFont="1" applyFill="1" applyBorder="1" applyAlignment="1" applyProtection="1">
      <alignment horizontal="centerContinuous"/>
      <protection hidden="1"/>
    </xf>
    <xf numFmtId="0" fontId="17" fillId="7" borderId="4" xfId="1" applyFont="1" applyFill="1" applyBorder="1" applyAlignment="1" applyProtection="1">
      <alignment horizontal="centerContinuous"/>
      <protection hidden="1"/>
    </xf>
    <xf numFmtId="0" fontId="22" fillId="7" borderId="0" xfId="0" applyFont="1" applyFill="1" applyBorder="1" applyAlignment="1" applyProtection="1">
      <alignment horizontal="center"/>
      <protection locked="0" hidden="1"/>
    </xf>
    <xf numFmtId="0" fontId="22" fillId="7" borderId="4" xfId="0" applyFont="1" applyFill="1" applyBorder="1" applyAlignment="1" applyProtection="1">
      <alignment horizontal="center"/>
      <protection locked="0" hidden="1"/>
    </xf>
    <xf numFmtId="0" fontId="26" fillId="7" borderId="14" xfId="0" applyFont="1" applyFill="1" applyBorder="1" applyAlignment="1" applyProtection="1">
      <alignment horizontal="center"/>
      <protection locked="0" hidden="1"/>
    </xf>
    <xf numFmtId="0" fontId="26" fillId="7" borderId="6" xfId="0" applyFont="1" applyFill="1" applyBorder="1" applyAlignment="1" applyProtection="1">
      <alignment horizontal="center"/>
      <protection locked="0" hidden="1"/>
    </xf>
    <xf numFmtId="9" fontId="5" fillId="4" borderId="4" xfId="0" applyNumberFormat="1" applyFont="1" applyFill="1" applyBorder="1" applyProtection="1">
      <protection locked="0" hidden="1"/>
    </xf>
    <xf numFmtId="0" fontId="11" fillId="4" borderId="3" xfId="0" applyFont="1" applyFill="1" applyBorder="1" applyProtection="1">
      <protection locked="0" hidden="1"/>
    </xf>
  </cellXfs>
  <cellStyles count="4">
    <cellStyle name="Hyperlink" xfId="1" builtinId="8"/>
    <cellStyle name="Procent" xfId="3" builtinId="5"/>
    <cellStyle name="Standaard" xfId="0" builtinId="0"/>
    <cellStyle name="Valuta" xfId="2" builtinId="4"/>
  </cellStyles>
  <dxfs count="6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2D2343"/>
      <color rgb="FFF6A219"/>
      <color rgb="FF745EAB"/>
      <color rgb="FF7B63B7"/>
      <color rgb="FFA893DE"/>
      <color rgb="FFB8AADE"/>
      <color rgb="FFC6F0CE"/>
      <color rgb="FFFFC7CE"/>
      <color rgb="FFF2C17F"/>
      <color rgb="FFFFC10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etruckacademy.nl/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www.etruckacademy.nl/afspraak-online-tco-tool-bespreking-inplannen/" TargetMode="External"/><Relationship Id="rId6" Type="http://schemas.openxmlformats.org/officeDocument/2006/relationships/image" Target="../media/image4.svg"/><Relationship Id="rId5" Type="http://schemas.openxmlformats.org/officeDocument/2006/relationships/image" Target="../media/image3.png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1020086</xdr:colOff>
      <xdr:row>98</xdr:row>
      <xdr:rowOff>23205</xdr:rowOff>
    </xdr:from>
    <xdr:to>
      <xdr:col>11</xdr:col>
      <xdr:colOff>1804736</xdr:colOff>
      <xdr:row>105</xdr:row>
      <xdr:rowOff>219623</xdr:rowOff>
    </xdr:to>
    <xdr:pic>
      <xdr:nvPicPr>
        <xdr:cNvPr id="4" name="Afbeelding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7C3E0B5-EBA9-BB74-1515-AB1051FFBB4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913" t="-7145" r="-100541" b="-45800"/>
        <a:stretch/>
      </xdr:blipFill>
      <xdr:spPr>
        <a:xfrm>
          <a:off x="7790236" y="26903280"/>
          <a:ext cx="8433297" cy="1619200"/>
        </a:xfrm>
        <a:prstGeom prst="rect">
          <a:avLst/>
        </a:prstGeom>
        <a:solidFill>
          <a:srgbClr val="2D2343">
            <a:alpha val="17112"/>
          </a:srgbClr>
        </a:solidFill>
        <a:effectLst>
          <a:outerShdw blurRad="50800" dist="38100" dir="2700000" algn="tl" rotWithShape="0">
            <a:prstClr val="black">
              <a:alpha val="40000"/>
            </a:prstClr>
          </a:outerShdw>
          <a:softEdge rad="0"/>
        </a:effectLst>
      </xdr:spPr>
    </xdr:pic>
    <xdr:clientData/>
  </xdr:twoCellAnchor>
  <xdr:twoCellAnchor editAs="oneCell">
    <xdr:from>
      <xdr:col>0</xdr:col>
      <xdr:colOff>830751</xdr:colOff>
      <xdr:row>0</xdr:row>
      <xdr:rowOff>105037</xdr:rowOff>
    </xdr:from>
    <xdr:to>
      <xdr:col>3</xdr:col>
      <xdr:colOff>1335507</xdr:colOff>
      <xdr:row>5</xdr:row>
      <xdr:rowOff>101443</xdr:rowOff>
    </xdr:to>
    <xdr:pic>
      <xdr:nvPicPr>
        <xdr:cNvPr id="13" name="Afbeelding 12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CE31A825-33C6-2763-BB00-8D779FF75D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0751" y="105037"/>
          <a:ext cx="4161974" cy="1058400"/>
        </a:xfrm>
        <a:prstGeom prst="rect">
          <a:avLst/>
        </a:prstGeom>
      </xdr:spPr>
    </xdr:pic>
    <xdr:clientData/>
  </xdr:twoCellAnchor>
  <xdr:twoCellAnchor editAs="oneCell">
    <xdr:from>
      <xdr:col>11</xdr:col>
      <xdr:colOff>1029050</xdr:colOff>
      <xdr:row>98</xdr:row>
      <xdr:rowOff>121878</xdr:rowOff>
    </xdr:from>
    <xdr:to>
      <xdr:col>13</xdr:col>
      <xdr:colOff>555826</xdr:colOff>
      <xdr:row>104</xdr:row>
      <xdr:rowOff>183778</xdr:rowOff>
    </xdr:to>
    <xdr:pic>
      <xdr:nvPicPr>
        <xdr:cNvPr id="6" name="Graphic 5" descr="Pijl: lichte curve met effen opvulli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E29EBAC-0645-A7AA-A4E6-75D97F0653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96DAC541-7B7A-43D3-8B79-37D633B846F1}">
              <asvg:svgBlip xmlns:asvg="http://schemas.microsoft.com/office/drawing/2016/SVG/main" r:embed="rId6"/>
            </a:ext>
          </a:extLst>
        </a:blip>
        <a:stretch>
          <a:fillRect/>
        </a:stretch>
      </xdr:blipFill>
      <xdr:spPr>
        <a:xfrm rot="20939407" flipH="1">
          <a:off x="15447847" y="27001953"/>
          <a:ext cx="2181362" cy="1284156"/>
        </a:xfrm>
        <a:prstGeom prst="rect">
          <a:avLst/>
        </a:prstGeom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</xdr:pic>
    <xdr:clientData/>
  </xdr:twoCellAnchor>
</xdr:wsDr>
</file>

<file path=xl/theme/theme1.xml><?xml version="1.0" encoding="utf-8"?>
<a:theme xmlns:a="http://schemas.openxmlformats.org/drawingml/2006/main" name="Office 2013 - 2022 Th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etruckacademy.nl/" TargetMode="External"/><Relationship Id="rId2" Type="http://schemas.openxmlformats.org/officeDocument/2006/relationships/hyperlink" Target="http://www.etruckacademy.nl/" TargetMode="External"/><Relationship Id="rId1" Type="http://schemas.openxmlformats.org/officeDocument/2006/relationships/hyperlink" Target="http://www.etruckacademy.nl/" TargetMode="External"/><Relationship Id="rId5" Type="http://schemas.openxmlformats.org/officeDocument/2006/relationships/drawing" Target="../drawings/drawing1.xml"/><Relationship Id="rId4" Type="http://schemas.openxmlformats.org/officeDocument/2006/relationships/hyperlink" Target="https://www.etruckacademy.nl/afspraak-online-tco-tool-bespreking-inplanne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4713F7-9043-3843-8CC1-3A929F6512B5}">
  <sheetPr>
    <pageSetUpPr fitToPage="1"/>
  </sheetPr>
  <dimension ref="A1:S116"/>
  <sheetViews>
    <sheetView tabSelected="1" topLeftCell="C7" zoomScale="133" zoomScaleNormal="133" zoomScaleSheetLayoutView="93" workbookViewId="0">
      <selection activeCell="E7" sqref="E7"/>
    </sheetView>
  </sheetViews>
  <sheetFormatPr baseColWidth="10" defaultColWidth="11" defaultRowHeight="16" outlineLevelRow="1" x14ac:dyDescent="0.2"/>
  <cols>
    <col min="1" max="2" width="11" style="1"/>
    <col min="3" max="3" width="26" style="1" customWidth="1"/>
    <col min="4" max="4" width="25" style="1" customWidth="1"/>
    <col min="5" max="5" width="15.83203125" style="1" customWidth="1"/>
    <col min="6" max="6" width="16" style="1" customWidth="1"/>
    <col min="7" max="7" width="19.83203125" style="1" bestFit="1" customWidth="1"/>
    <col min="8" max="8" width="20.1640625" style="1" bestFit="1" customWidth="1"/>
    <col min="9" max="9" width="16.33203125" style="1" customWidth="1"/>
    <col min="10" max="10" width="11" style="1"/>
    <col min="11" max="11" width="17" style="1" bestFit="1" customWidth="1"/>
    <col min="12" max="12" width="23.83203125" style="1" customWidth="1"/>
    <col min="13" max="13" width="11" style="1"/>
    <col min="14" max="14" width="11" style="2"/>
    <col min="15" max="15" width="12" style="1" bestFit="1" customWidth="1"/>
    <col min="16" max="16" width="11" style="1"/>
    <col min="17" max="17" width="13" style="1" bestFit="1" customWidth="1"/>
    <col min="18" max="18" width="12" style="1" bestFit="1" customWidth="1"/>
    <col min="19" max="16384" width="11" style="1"/>
  </cols>
  <sheetData>
    <row r="1" spans="1:18" ht="19" x14ac:dyDescent="0.25">
      <c r="A1" s="47"/>
      <c r="B1" s="73"/>
      <c r="C1" s="54"/>
      <c r="D1" s="54"/>
      <c r="E1" s="103" t="s">
        <v>80</v>
      </c>
      <c r="F1" s="54"/>
      <c r="G1" s="54"/>
      <c r="H1" s="103"/>
      <c r="I1" s="54"/>
      <c r="J1" s="47"/>
      <c r="K1" s="104"/>
      <c r="L1" s="105"/>
      <c r="M1" s="47"/>
      <c r="N1" s="47"/>
    </row>
    <row r="2" spans="1:18" x14ac:dyDescent="0.2">
      <c r="A2" s="47"/>
      <c r="B2" s="47"/>
      <c r="C2" s="47"/>
      <c r="D2" s="47"/>
      <c r="E2" s="47"/>
      <c r="F2" s="47"/>
      <c r="G2" s="86"/>
      <c r="H2" s="47"/>
      <c r="I2" s="47"/>
      <c r="J2" s="47"/>
      <c r="K2" s="87" t="s">
        <v>81</v>
      </c>
      <c r="L2" s="47"/>
      <c r="M2" s="47"/>
      <c r="N2" s="47"/>
    </row>
    <row r="3" spans="1:18" ht="17" thickBot="1" x14ac:dyDescent="0.25">
      <c r="A3" s="47"/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</row>
    <row r="4" spans="1:18" ht="17" thickTop="1" x14ac:dyDescent="0.2">
      <c r="A4" s="47"/>
      <c r="B4" s="47"/>
      <c r="C4" s="69"/>
      <c r="D4" s="47"/>
      <c r="E4" s="111" t="s">
        <v>0</v>
      </c>
      <c r="F4" s="112"/>
      <c r="G4" s="88"/>
      <c r="H4" s="111" t="s">
        <v>1</v>
      </c>
      <c r="I4" s="112"/>
      <c r="J4" s="88"/>
      <c r="K4" s="111" t="s">
        <v>2</v>
      </c>
      <c r="L4" s="112"/>
      <c r="M4" s="47"/>
      <c r="N4" s="47"/>
    </row>
    <row r="5" spans="1:18" x14ac:dyDescent="0.2">
      <c r="A5" s="47"/>
      <c r="B5" s="47"/>
      <c r="C5" s="47"/>
      <c r="D5" s="47"/>
      <c r="E5" s="89"/>
      <c r="F5" s="90"/>
      <c r="G5" s="88"/>
      <c r="H5" s="89"/>
      <c r="I5" s="90"/>
      <c r="J5" s="88"/>
      <c r="K5" s="100" t="s">
        <v>3</v>
      </c>
      <c r="L5" s="101" t="s">
        <v>4</v>
      </c>
      <c r="M5" s="47"/>
      <c r="N5" s="47"/>
    </row>
    <row r="6" spans="1:18" ht="20" thickBot="1" x14ac:dyDescent="0.3">
      <c r="A6" s="47"/>
      <c r="B6" s="47"/>
      <c r="C6" s="47"/>
      <c r="D6" s="47"/>
      <c r="E6" s="89"/>
      <c r="F6" s="90"/>
      <c r="G6" s="88"/>
      <c r="H6" s="89"/>
      <c r="I6" s="90"/>
      <c r="J6" s="88"/>
      <c r="K6" s="89"/>
      <c r="L6" s="64"/>
      <c r="M6" s="47"/>
      <c r="N6" s="47"/>
    </row>
    <row r="7" spans="1:18" ht="20" thickTop="1" x14ac:dyDescent="0.25">
      <c r="A7" s="47"/>
      <c r="B7" s="116" t="s">
        <v>49</v>
      </c>
      <c r="C7" s="3" t="s">
        <v>5</v>
      </c>
      <c r="D7" s="3"/>
      <c r="E7" s="33">
        <v>125000</v>
      </c>
      <c r="F7" s="8"/>
      <c r="G7" s="4"/>
      <c r="H7" s="33">
        <v>315000</v>
      </c>
      <c r="I7" s="8"/>
      <c r="J7" s="5"/>
      <c r="K7" s="29"/>
      <c r="L7" s="30"/>
      <c r="M7" s="47"/>
      <c r="N7" s="47"/>
    </row>
    <row r="8" spans="1:18" ht="19" x14ac:dyDescent="0.25">
      <c r="A8" s="47"/>
      <c r="B8" s="117"/>
      <c r="C8" s="3" t="s">
        <v>6</v>
      </c>
      <c r="D8" s="3"/>
      <c r="E8" s="9">
        <v>0</v>
      </c>
      <c r="F8" s="8"/>
      <c r="G8" s="4"/>
      <c r="H8" s="33">
        <v>25000</v>
      </c>
      <c r="I8" s="8"/>
      <c r="J8" s="5"/>
      <c r="K8" s="29"/>
      <c r="L8" s="30"/>
      <c r="M8" s="47"/>
      <c r="N8" s="47"/>
    </row>
    <row r="9" spans="1:18" ht="19" x14ac:dyDescent="0.25">
      <c r="A9" s="47"/>
      <c r="B9" s="117"/>
      <c r="C9" s="3" t="s">
        <v>7</v>
      </c>
      <c r="D9" s="3"/>
      <c r="E9" s="9">
        <v>0</v>
      </c>
      <c r="F9" s="8"/>
      <c r="G9" s="4"/>
      <c r="H9" s="9">
        <f>((H7-H8)*I9)*0.19</f>
        <v>19836</v>
      </c>
      <c r="I9" s="142">
        <v>0.36</v>
      </c>
      <c r="J9" s="5"/>
      <c r="K9" s="29"/>
      <c r="L9" s="30"/>
      <c r="M9" s="47"/>
      <c r="N9" s="47"/>
    </row>
    <row r="10" spans="1:18" ht="19" x14ac:dyDescent="0.25">
      <c r="A10" s="47"/>
      <c r="B10" s="117"/>
      <c r="C10" s="3" t="s">
        <v>38</v>
      </c>
      <c r="D10" s="3"/>
      <c r="E10" s="9">
        <f>MAX(E7*5%,$E$7*((1-F10)^E27))</f>
        <v>17126.429633539206</v>
      </c>
      <c r="F10" s="38">
        <v>0.22</v>
      </c>
      <c r="G10" s="4"/>
      <c r="H10" s="9">
        <f>MAX(H7*5%,($H$7*((1-I10)^E27)))</f>
        <v>31535.568237304688</v>
      </c>
      <c r="I10" s="38">
        <v>0.25</v>
      </c>
      <c r="J10" s="5"/>
      <c r="K10" s="29"/>
      <c r="L10" s="30"/>
      <c r="M10" s="47"/>
      <c r="N10" s="47"/>
    </row>
    <row r="11" spans="1:18" ht="19" x14ac:dyDescent="0.25">
      <c r="A11" s="47"/>
      <c r="B11" s="117"/>
      <c r="C11" s="3" t="s">
        <v>8</v>
      </c>
      <c r="D11" s="3"/>
      <c r="E11" s="9"/>
      <c r="F11" s="8">
        <f>E7-E10</f>
        <v>107873.5703664608</v>
      </c>
      <c r="G11" s="4"/>
      <c r="H11" s="9"/>
      <c r="I11" s="8">
        <f>H7-H8-H9-H10</f>
        <v>238628.43176269531</v>
      </c>
      <c r="J11" s="5"/>
      <c r="K11" s="29"/>
      <c r="L11" s="30"/>
      <c r="M11" s="47"/>
      <c r="N11" s="47"/>
    </row>
    <row r="12" spans="1:18" ht="19" x14ac:dyDescent="0.25">
      <c r="A12" s="47"/>
      <c r="B12" s="117"/>
      <c r="C12" s="3"/>
      <c r="D12" s="3"/>
      <c r="E12" s="9"/>
      <c r="F12" s="8"/>
      <c r="G12" s="4"/>
      <c r="H12" s="9"/>
      <c r="I12" s="8"/>
      <c r="J12" s="5"/>
      <c r="K12" s="29"/>
      <c r="L12" s="30"/>
      <c r="M12" s="47"/>
      <c r="N12" s="47"/>
    </row>
    <row r="13" spans="1:18" ht="20" thickBot="1" x14ac:dyDescent="0.3">
      <c r="A13" s="47"/>
      <c r="B13" s="118"/>
      <c r="C13" s="3" t="s">
        <v>9</v>
      </c>
      <c r="D13" s="3"/>
      <c r="E13" s="9"/>
      <c r="F13" s="8"/>
      <c r="G13" s="4"/>
      <c r="H13" s="9"/>
      <c r="I13" s="8"/>
      <c r="J13" s="5"/>
      <c r="K13" s="29">
        <f>I11-F11</f>
        <v>130754.86139623451</v>
      </c>
      <c r="L13" s="30"/>
      <c r="M13" s="47"/>
      <c r="N13" s="47"/>
    </row>
    <row r="14" spans="1:18" ht="21" thickTop="1" thickBot="1" x14ac:dyDescent="0.3">
      <c r="A14" s="47"/>
      <c r="B14" s="73"/>
      <c r="C14" s="54"/>
      <c r="D14" s="54"/>
      <c r="E14" s="70"/>
      <c r="F14" s="71"/>
      <c r="G14" s="55"/>
      <c r="H14" s="70"/>
      <c r="I14" s="71"/>
      <c r="J14" s="62"/>
      <c r="K14" s="63"/>
      <c r="L14" s="64"/>
      <c r="M14" s="47"/>
      <c r="N14" s="47"/>
      <c r="O14" s="106"/>
      <c r="P14" s="106"/>
      <c r="Q14" s="106"/>
      <c r="R14" s="106"/>
    </row>
    <row r="15" spans="1:18" ht="48" customHeight="1" thickTop="1" x14ac:dyDescent="0.25">
      <c r="A15" s="47"/>
      <c r="B15" s="119" t="s">
        <v>76</v>
      </c>
      <c r="C15" s="7" t="s">
        <v>73</v>
      </c>
      <c r="D15" s="6"/>
      <c r="E15" s="102">
        <v>5.8999999999999997E-2</v>
      </c>
      <c r="F15" s="14"/>
      <c r="G15" s="6"/>
      <c r="H15" s="13"/>
      <c r="I15" s="14"/>
      <c r="J15" s="6"/>
      <c r="K15" s="29"/>
      <c r="L15" s="30"/>
      <c r="M15" s="47"/>
      <c r="N15" s="47"/>
    </row>
    <row r="16" spans="1:18" ht="19" x14ac:dyDescent="0.25">
      <c r="A16" s="47"/>
      <c r="B16" s="120"/>
      <c r="C16" s="7" t="s">
        <v>74</v>
      </c>
      <c r="D16" s="6"/>
      <c r="E16" s="143">
        <v>60</v>
      </c>
      <c r="F16" s="14"/>
      <c r="G16" s="6"/>
      <c r="H16" s="13"/>
      <c r="I16" s="14"/>
      <c r="J16" s="6"/>
      <c r="K16" s="29"/>
      <c r="L16" s="30"/>
      <c r="M16" s="47"/>
      <c r="N16" s="47"/>
    </row>
    <row r="17" spans="1:18" ht="20" thickBot="1" x14ac:dyDescent="0.3">
      <c r="A17" s="47"/>
      <c r="B17" s="121"/>
      <c r="C17" s="7" t="s">
        <v>75</v>
      </c>
      <c r="D17" s="6"/>
      <c r="E17" s="45">
        <f>(-PMT(E15/12,E16,E7)-(E7/E16))*E16</f>
        <v>19647.527173872113</v>
      </c>
      <c r="F17" s="44"/>
      <c r="G17" s="6"/>
      <c r="H17" s="46">
        <f>(-PMT(E15/12,E16,H7)-(H7/E16))*E16</f>
        <v>49511.768478157755</v>
      </c>
      <c r="I17" s="14"/>
      <c r="J17" s="6"/>
      <c r="K17" s="29">
        <f>H17-E17</f>
        <v>29864.241304285642</v>
      </c>
      <c r="L17" s="30"/>
      <c r="M17" s="47"/>
      <c r="N17" s="47"/>
    </row>
    <row r="18" spans="1:18" ht="21" thickTop="1" thickBot="1" x14ac:dyDescent="0.3">
      <c r="A18" s="47"/>
      <c r="B18" s="75"/>
      <c r="C18" s="75"/>
      <c r="D18" s="47"/>
      <c r="E18" s="83"/>
      <c r="F18" s="84"/>
      <c r="G18" s="47"/>
      <c r="H18" s="85"/>
      <c r="I18" s="81"/>
      <c r="J18" s="47"/>
      <c r="K18" s="63"/>
      <c r="L18" s="64"/>
      <c r="M18" s="47"/>
      <c r="N18" s="47"/>
    </row>
    <row r="19" spans="1:18" ht="79" thickTop="1" thickBot="1" x14ac:dyDescent="0.3">
      <c r="A19" s="47"/>
      <c r="B19" s="99" t="s">
        <v>78</v>
      </c>
      <c r="C19" s="7" t="s">
        <v>77</v>
      </c>
      <c r="D19" s="6"/>
      <c r="E19" s="45">
        <f>(E7*0.0442)*E27</f>
        <v>44200</v>
      </c>
      <c r="F19" s="44"/>
      <c r="G19" s="6"/>
      <c r="H19" s="46">
        <f>(H7*0.02895)*E27</f>
        <v>72954</v>
      </c>
      <c r="I19" s="14"/>
      <c r="J19" s="6"/>
      <c r="K19" s="29">
        <f>H19-E19</f>
        <v>28754</v>
      </c>
      <c r="L19" s="30"/>
      <c r="M19" s="47"/>
      <c r="N19" s="47"/>
      <c r="R19" s="107"/>
    </row>
    <row r="20" spans="1:18" ht="20" thickTop="1" x14ac:dyDescent="0.25">
      <c r="A20" s="47"/>
      <c r="B20" s="96"/>
      <c r="C20" s="75"/>
      <c r="D20" s="47"/>
      <c r="E20" s="83"/>
      <c r="F20" s="84"/>
      <c r="G20" s="47"/>
      <c r="H20" s="85"/>
      <c r="I20" s="81"/>
      <c r="J20" s="47"/>
      <c r="K20" s="63"/>
      <c r="L20" s="64"/>
      <c r="M20" s="47"/>
      <c r="N20" s="47"/>
      <c r="R20" s="107"/>
    </row>
    <row r="21" spans="1:18" ht="19" x14ac:dyDescent="0.25">
      <c r="A21" s="47"/>
      <c r="B21" s="96"/>
      <c r="C21" s="75"/>
      <c r="D21" s="47"/>
      <c r="E21" s="83"/>
      <c r="F21" s="84"/>
      <c r="G21" s="47"/>
      <c r="H21" s="85"/>
      <c r="I21" s="81"/>
      <c r="J21" s="47"/>
      <c r="K21" s="63"/>
      <c r="L21" s="64"/>
      <c r="M21" s="47"/>
      <c r="N21" s="47"/>
    </row>
    <row r="22" spans="1:18" ht="20" thickBot="1" x14ac:dyDescent="0.3">
      <c r="A22" s="47"/>
      <c r="B22" s="75"/>
      <c r="C22" s="75"/>
      <c r="D22" s="47"/>
      <c r="E22" s="83"/>
      <c r="F22" s="84"/>
      <c r="G22" s="47"/>
      <c r="H22" s="85"/>
      <c r="I22" s="81"/>
      <c r="J22" s="47"/>
      <c r="K22" s="63"/>
      <c r="L22" s="64"/>
      <c r="M22" s="47"/>
      <c r="N22" s="47"/>
    </row>
    <row r="23" spans="1:18" ht="21" customHeight="1" thickTop="1" x14ac:dyDescent="0.25">
      <c r="A23" s="47"/>
      <c r="B23" s="116" t="s">
        <v>10</v>
      </c>
      <c r="C23" s="7" t="s">
        <v>35</v>
      </c>
      <c r="D23" s="6"/>
      <c r="E23" s="34">
        <v>2025</v>
      </c>
      <c r="F23" s="14"/>
      <c r="G23" s="6"/>
      <c r="H23" s="13"/>
      <c r="I23" s="14"/>
      <c r="J23" s="6"/>
      <c r="K23" s="29"/>
      <c r="L23" s="30"/>
      <c r="M23" s="47"/>
      <c r="N23" s="47"/>
    </row>
    <row r="24" spans="1:18" ht="19" customHeight="1" x14ac:dyDescent="0.25">
      <c r="A24" s="47"/>
      <c r="B24" s="117"/>
      <c r="C24" s="3" t="s">
        <v>11</v>
      </c>
      <c r="D24" s="3"/>
      <c r="E24" s="35">
        <v>395</v>
      </c>
      <c r="F24" s="10"/>
      <c r="G24" s="3"/>
      <c r="H24" s="11"/>
      <c r="I24" s="10"/>
      <c r="J24" s="6"/>
      <c r="K24" s="29"/>
      <c r="L24" s="30"/>
      <c r="M24" s="47"/>
      <c r="N24" s="47"/>
    </row>
    <row r="25" spans="1:18" ht="19" x14ac:dyDescent="0.25">
      <c r="A25" s="47"/>
      <c r="B25" s="117"/>
      <c r="C25" s="3" t="s">
        <v>12</v>
      </c>
      <c r="D25" s="3"/>
      <c r="E25" s="35">
        <v>235</v>
      </c>
      <c r="F25" s="10"/>
      <c r="G25" s="3"/>
      <c r="H25" s="11"/>
      <c r="I25" s="10"/>
      <c r="J25" s="6"/>
      <c r="K25" s="29"/>
      <c r="L25" s="30"/>
      <c r="M25" s="47"/>
      <c r="N25" s="47"/>
    </row>
    <row r="26" spans="1:18" ht="19" x14ac:dyDescent="0.25">
      <c r="A26" s="47"/>
      <c r="B26" s="117"/>
      <c r="C26" s="3" t="s">
        <v>13</v>
      </c>
      <c r="D26" s="3"/>
      <c r="E26" s="11">
        <f>E24*E25</f>
        <v>92825</v>
      </c>
      <c r="F26" s="10"/>
      <c r="G26" s="3"/>
      <c r="H26" s="11"/>
      <c r="I26" s="10"/>
      <c r="J26" s="6"/>
      <c r="K26" s="29"/>
      <c r="L26" s="30"/>
      <c r="M26" s="47"/>
      <c r="N26" s="47"/>
    </row>
    <row r="27" spans="1:18" ht="19" x14ac:dyDescent="0.25">
      <c r="A27" s="47"/>
      <c r="B27" s="117"/>
      <c r="C27" s="3" t="s">
        <v>14</v>
      </c>
      <c r="D27" s="3"/>
      <c r="E27" s="35">
        <v>8</v>
      </c>
      <c r="F27" s="10"/>
      <c r="G27" s="3"/>
      <c r="H27" s="11"/>
      <c r="I27" s="10"/>
      <c r="J27" s="6"/>
      <c r="K27" s="29"/>
      <c r="L27" s="30"/>
      <c r="M27" s="47"/>
      <c r="N27" s="47"/>
    </row>
    <row r="28" spans="1:18" ht="19" x14ac:dyDescent="0.25">
      <c r="A28" s="47"/>
      <c r="B28" s="117"/>
      <c r="C28" s="3"/>
      <c r="D28" s="3"/>
      <c r="E28" s="11"/>
      <c r="F28" s="10"/>
      <c r="G28" s="3"/>
      <c r="H28" s="11"/>
      <c r="I28" s="10"/>
      <c r="J28" s="6"/>
      <c r="K28" s="29"/>
      <c r="L28" s="30"/>
      <c r="M28" s="47"/>
      <c r="N28" s="47"/>
    </row>
    <row r="29" spans="1:18" ht="19" x14ac:dyDescent="0.25">
      <c r="A29" s="47"/>
      <c r="B29" s="117"/>
      <c r="C29" s="3" t="s">
        <v>15</v>
      </c>
      <c r="D29" s="3"/>
      <c r="E29" s="35">
        <v>4</v>
      </c>
      <c r="F29" s="43">
        <f>100/E29</f>
        <v>25</v>
      </c>
      <c r="G29" s="3"/>
      <c r="H29" s="12">
        <f>H30/E24</f>
        <v>1.2150000000000001</v>
      </c>
      <c r="I29" s="10"/>
      <c r="J29" s="6"/>
      <c r="K29" s="29"/>
      <c r="L29" s="30"/>
      <c r="M29" s="47"/>
      <c r="N29" s="47"/>
    </row>
    <row r="30" spans="1:18" ht="20" thickBot="1" x14ac:dyDescent="0.3">
      <c r="A30" s="47"/>
      <c r="B30" s="118"/>
      <c r="C30" s="3" t="s">
        <v>16</v>
      </c>
      <c r="D30" s="3"/>
      <c r="E30" s="12">
        <f>E24/E29</f>
        <v>98.75</v>
      </c>
      <c r="F30" s="10"/>
      <c r="G30" s="3"/>
      <c r="H30" s="12">
        <f>(((E30*4.86)))</f>
        <v>479.92500000000001</v>
      </c>
      <c r="I30" s="10"/>
      <c r="J30" s="6"/>
      <c r="K30" s="29"/>
      <c r="L30" s="30"/>
      <c r="M30" s="47"/>
      <c r="N30" s="47"/>
    </row>
    <row r="31" spans="1:18" ht="20" thickTop="1" x14ac:dyDescent="0.25">
      <c r="A31" s="47"/>
      <c r="B31" s="73"/>
      <c r="C31" s="54"/>
      <c r="D31" s="54"/>
      <c r="E31" s="82"/>
      <c r="F31" s="72"/>
      <c r="G31" s="54"/>
      <c r="H31" s="82"/>
      <c r="I31" s="72"/>
      <c r="J31" s="47"/>
      <c r="K31" s="63"/>
      <c r="L31" s="64"/>
      <c r="M31" s="47"/>
      <c r="N31" s="47"/>
    </row>
    <row r="32" spans="1:18" ht="19" x14ac:dyDescent="0.25">
      <c r="A32" s="47"/>
      <c r="B32" s="73"/>
      <c r="C32" s="54"/>
      <c r="D32" s="54"/>
      <c r="E32" s="82"/>
      <c r="F32" s="72"/>
      <c r="G32" s="54"/>
      <c r="H32" s="82"/>
      <c r="I32" s="72"/>
      <c r="J32" s="47"/>
      <c r="K32" s="63"/>
      <c r="L32" s="64"/>
      <c r="M32" s="47"/>
      <c r="N32" s="47"/>
    </row>
    <row r="33" spans="1:14" ht="17" thickBot="1" x14ac:dyDescent="0.25">
      <c r="A33" s="47"/>
      <c r="B33" s="47"/>
      <c r="C33" s="47"/>
      <c r="D33" s="47"/>
      <c r="E33" s="80"/>
      <c r="F33" s="81"/>
      <c r="G33" s="47"/>
      <c r="H33" s="80"/>
      <c r="I33" s="81"/>
      <c r="J33" s="47"/>
      <c r="K33" s="80"/>
      <c r="L33" s="81"/>
      <c r="M33" s="47"/>
      <c r="N33" s="47"/>
    </row>
    <row r="34" spans="1:14" ht="21" customHeight="1" thickTop="1" x14ac:dyDescent="0.25">
      <c r="A34" s="47"/>
      <c r="B34" s="116" t="s">
        <v>56</v>
      </c>
      <c r="C34" s="3" t="s">
        <v>47</v>
      </c>
      <c r="D34" s="3"/>
      <c r="E34" s="13"/>
      <c r="F34" s="10"/>
      <c r="G34" s="3"/>
      <c r="H34" s="39">
        <v>12</v>
      </c>
      <c r="I34" s="10"/>
      <c r="J34" s="6"/>
      <c r="K34" s="29"/>
      <c r="L34" s="30"/>
      <c r="M34" s="47"/>
      <c r="N34" s="47"/>
    </row>
    <row r="35" spans="1:14" ht="19" x14ac:dyDescent="0.25">
      <c r="A35" s="47"/>
      <c r="B35" s="117"/>
      <c r="C35" s="3" t="s">
        <v>48</v>
      </c>
      <c r="D35" s="3"/>
      <c r="E35" s="13"/>
      <c r="F35" s="10"/>
      <c r="G35" s="3"/>
      <c r="H35" s="12">
        <f>(H30/H34)</f>
        <v>39.993749999999999</v>
      </c>
      <c r="I35" s="10"/>
      <c r="J35" s="6"/>
      <c r="K35" s="29"/>
      <c r="L35" s="30"/>
      <c r="M35" s="47"/>
      <c r="N35" s="47"/>
    </row>
    <row r="36" spans="1:14" ht="19" x14ac:dyDescent="0.25">
      <c r="A36" s="47"/>
      <c r="B36" s="117"/>
      <c r="C36" s="3" t="s">
        <v>40</v>
      </c>
      <c r="D36" s="3"/>
      <c r="E36" s="13"/>
      <c r="F36" s="10"/>
      <c r="G36" s="3"/>
      <c r="H36" s="12">
        <f>CEILING(H35*1.1,25)</f>
        <v>50</v>
      </c>
      <c r="I36" s="10"/>
      <c r="J36" s="6"/>
      <c r="K36" s="29"/>
      <c r="L36" s="30"/>
      <c r="M36" s="47"/>
      <c r="N36" s="47"/>
    </row>
    <row r="37" spans="1:14" ht="19" x14ac:dyDescent="0.25">
      <c r="A37" s="47"/>
      <c r="B37" s="117"/>
      <c r="C37" s="3" t="s">
        <v>36</v>
      </c>
      <c r="D37" s="3"/>
      <c r="E37" s="13"/>
      <c r="F37" s="10"/>
      <c r="G37" s="3"/>
      <c r="H37" s="24">
        <f>H36*525</f>
        <v>26250</v>
      </c>
      <c r="I37" s="10"/>
      <c r="J37" s="6"/>
      <c r="K37" s="29"/>
      <c r="L37" s="30"/>
      <c r="M37" s="47"/>
      <c r="N37" s="47"/>
    </row>
    <row r="38" spans="1:14" ht="19" x14ac:dyDescent="0.25">
      <c r="A38" s="47"/>
      <c r="B38" s="117"/>
      <c r="C38" s="3" t="s">
        <v>50</v>
      </c>
      <c r="D38" s="3"/>
      <c r="E38" s="13"/>
      <c r="F38" s="10"/>
      <c r="G38" s="3"/>
      <c r="H38" s="40">
        <f>26250*0.2</f>
        <v>5250</v>
      </c>
      <c r="I38" s="10"/>
      <c r="J38" s="6"/>
      <c r="K38" s="29"/>
      <c r="L38" s="30"/>
      <c r="M38" s="47"/>
      <c r="N38" s="47"/>
    </row>
    <row r="39" spans="1:14" ht="19" x14ac:dyDescent="0.25">
      <c r="A39" s="47"/>
      <c r="B39" s="117"/>
      <c r="C39" s="3" t="s">
        <v>51</v>
      </c>
      <c r="D39" s="3"/>
      <c r="E39" s="13"/>
      <c r="F39" s="10"/>
      <c r="G39" s="3"/>
      <c r="H39" s="24">
        <f>IF(I9=B112,0,(H37-H38)*0.45*0.19)</f>
        <v>1795.5</v>
      </c>
      <c r="I39" s="123">
        <f>IF(I9=B112,B113,C113)</f>
        <v>0.45</v>
      </c>
      <c r="J39" s="6"/>
      <c r="K39" s="29"/>
      <c r="L39" s="30"/>
      <c r="M39" s="47"/>
      <c r="N39" s="47"/>
    </row>
    <row r="40" spans="1:14" ht="19" x14ac:dyDescent="0.25">
      <c r="A40" s="47"/>
      <c r="B40" s="117"/>
      <c r="C40" s="3" t="s">
        <v>52</v>
      </c>
      <c r="D40" s="3"/>
      <c r="E40" s="13"/>
      <c r="F40" s="10"/>
      <c r="G40" s="3"/>
      <c r="H40" s="24">
        <f>H37-H38-H39</f>
        <v>19204.5</v>
      </c>
      <c r="I40" s="10"/>
      <c r="J40" s="6"/>
      <c r="K40" s="29"/>
      <c r="L40" s="30"/>
      <c r="M40" s="47"/>
      <c r="N40" s="47"/>
    </row>
    <row r="41" spans="1:14" ht="19" x14ac:dyDescent="0.25">
      <c r="A41" s="47"/>
      <c r="B41" s="117"/>
      <c r="C41" s="6"/>
      <c r="D41" s="6"/>
      <c r="E41" s="13"/>
      <c r="F41" s="14"/>
      <c r="G41" s="6"/>
      <c r="H41" s="13"/>
      <c r="I41" s="10"/>
      <c r="J41" s="6"/>
      <c r="K41" s="29"/>
      <c r="L41" s="30"/>
      <c r="M41" s="47"/>
      <c r="N41" s="47"/>
    </row>
    <row r="42" spans="1:14" ht="19" x14ac:dyDescent="0.25">
      <c r="A42" s="47"/>
      <c r="B42" s="117"/>
      <c r="C42" s="6"/>
      <c r="D42" s="6"/>
      <c r="E42" s="13"/>
      <c r="F42" s="14"/>
      <c r="G42" s="6"/>
      <c r="H42" s="13"/>
      <c r="I42" s="10"/>
      <c r="J42" s="6"/>
      <c r="K42" s="29"/>
      <c r="L42" s="30"/>
      <c r="M42" s="47"/>
      <c r="N42" s="47"/>
    </row>
    <row r="43" spans="1:14" ht="19" x14ac:dyDescent="0.25">
      <c r="A43" s="47"/>
      <c r="B43" s="117"/>
      <c r="C43" s="3" t="s">
        <v>41</v>
      </c>
      <c r="D43" s="3"/>
      <c r="E43" s="13"/>
      <c r="F43" s="10"/>
      <c r="G43" s="3"/>
      <c r="H43" s="41">
        <v>8</v>
      </c>
      <c r="I43" s="10"/>
      <c r="J43" s="6"/>
      <c r="K43" s="29"/>
      <c r="L43" s="30"/>
      <c r="M43" s="47"/>
      <c r="N43" s="47"/>
    </row>
    <row r="44" spans="1:14" ht="19" x14ac:dyDescent="0.25">
      <c r="A44" s="47"/>
      <c r="B44" s="117"/>
      <c r="C44" s="3" t="s">
        <v>79</v>
      </c>
      <c r="D44" s="3"/>
      <c r="E44" s="13"/>
      <c r="F44" s="10"/>
      <c r="G44" s="3"/>
      <c r="H44" s="24">
        <f>H37*2%*H43</f>
        <v>4200</v>
      </c>
      <c r="I44" s="10"/>
      <c r="J44" s="6"/>
      <c r="K44" s="29"/>
      <c r="L44" s="30"/>
      <c r="M44" s="47"/>
      <c r="N44" s="47"/>
    </row>
    <row r="45" spans="1:14" ht="19" x14ac:dyDescent="0.25">
      <c r="A45" s="47"/>
      <c r="B45" s="117"/>
      <c r="C45" s="6"/>
      <c r="D45" s="6"/>
      <c r="E45" s="13"/>
      <c r="F45" s="14"/>
      <c r="G45" s="6"/>
      <c r="H45" s="13"/>
      <c r="I45" s="10"/>
      <c r="J45" s="6"/>
      <c r="K45" s="29"/>
      <c r="L45" s="30"/>
      <c r="M45" s="47"/>
      <c r="N45" s="47"/>
    </row>
    <row r="46" spans="1:14" ht="19" x14ac:dyDescent="0.25">
      <c r="A46" s="47"/>
      <c r="B46" s="117"/>
      <c r="C46" s="3" t="s">
        <v>43</v>
      </c>
      <c r="D46" s="3"/>
      <c r="E46" s="13"/>
      <c r="F46" s="10"/>
      <c r="G46" s="3"/>
      <c r="H46" s="17">
        <f>H30*E25*H43</f>
        <v>902259</v>
      </c>
      <c r="I46" s="10"/>
      <c r="J46" s="6"/>
      <c r="K46" s="29"/>
      <c r="L46" s="30"/>
      <c r="M46" s="47"/>
      <c r="N46" s="47"/>
    </row>
    <row r="47" spans="1:14" ht="20" thickBot="1" x14ac:dyDescent="0.3">
      <c r="A47" s="47"/>
      <c r="B47" s="118"/>
      <c r="C47" s="7" t="s">
        <v>45</v>
      </c>
      <c r="D47" s="6"/>
      <c r="E47" s="13"/>
      <c r="F47" s="15"/>
      <c r="G47" s="3"/>
      <c r="H47" s="25">
        <f>(H40+H44)/H46</f>
        <v>2.5939890873906496E-2</v>
      </c>
      <c r="I47" s="10"/>
      <c r="J47" s="6"/>
      <c r="K47" s="29"/>
      <c r="L47" s="30"/>
      <c r="M47" s="47"/>
      <c r="N47" s="47"/>
    </row>
    <row r="48" spans="1:14" ht="21" thickTop="1" thickBot="1" x14ac:dyDescent="0.3">
      <c r="A48" s="47"/>
      <c r="B48" s="73"/>
      <c r="C48" s="47"/>
      <c r="D48" s="47"/>
      <c r="E48" s="80"/>
      <c r="F48" s="81"/>
      <c r="G48" s="47"/>
      <c r="H48" s="80"/>
      <c r="I48" s="72"/>
      <c r="J48" s="47"/>
      <c r="K48" s="63"/>
      <c r="L48" s="64"/>
      <c r="M48" s="47"/>
      <c r="N48" s="47"/>
    </row>
    <row r="49" spans="1:14" ht="55" customHeight="1" thickTop="1" x14ac:dyDescent="0.25">
      <c r="A49" s="47"/>
      <c r="B49" s="119" t="s">
        <v>57</v>
      </c>
      <c r="C49" s="7" t="s">
        <v>37</v>
      </c>
      <c r="D49" s="7"/>
      <c r="E49" s="21"/>
      <c r="F49" s="22"/>
      <c r="G49" s="7"/>
      <c r="H49" s="26">
        <f>H36*250</f>
        <v>12500</v>
      </c>
      <c r="I49" s="22"/>
      <c r="J49" s="7"/>
      <c r="K49" s="31"/>
      <c r="L49" s="32"/>
      <c r="M49" s="47"/>
      <c r="N49" s="47"/>
    </row>
    <row r="50" spans="1:14" ht="19" x14ac:dyDescent="0.25">
      <c r="A50" s="47"/>
      <c r="B50" s="120"/>
      <c r="C50" s="7" t="s">
        <v>42</v>
      </c>
      <c r="D50" s="7"/>
      <c r="E50" s="21"/>
      <c r="F50" s="22"/>
      <c r="G50" s="7"/>
      <c r="H50" s="42">
        <v>20</v>
      </c>
      <c r="I50" s="22"/>
      <c r="J50" s="7"/>
      <c r="K50" s="31"/>
      <c r="L50" s="32"/>
      <c r="M50" s="47"/>
      <c r="N50" s="47"/>
    </row>
    <row r="51" spans="1:14" ht="19" x14ac:dyDescent="0.25">
      <c r="A51" s="47"/>
      <c r="B51" s="120"/>
      <c r="C51" s="7" t="s">
        <v>44</v>
      </c>
      <c r="D51" s="7"/>
      <c r="E51" s="21"/>
      <c r="F51" s="23"/>
      <c r="G51" s="7"/>
      <c r="H51" s="27">
        <f>(H30*E25)*H50</f>
        <v>2255647.5</v>
      </c>
      <c r="I51" s="22"/>
      <c r="J51" s="7"/>
      <c r="K51" s="31"/>
      <c r="L51" s="32"/>
      <c r="M51" s="47"/>
      <c r="N51" s="47"/>
    </row>
    <row r="52" spans="1:14" ht="20" thickBot="1" x14ac:dyDescent="0.3">
      <c r="A52" s="47"/>
      <c r="B52" s="121"/>
      <c r="C52" s="7" t="s">
        <v>53</v>
      </c>
      <c r="D52" s="7"/>
      <c r="E52" s="21"/>
      <c r="F52" s="23"/>
      <c r="G52" s="7"/>
      <c r="H52" s="25">
        <f>H49/H51</f>
        <v>5.5416460240352268E-3</v>
      </c>
      <c r="I52" s="22"/>
      <c r="J52" s="7"/>
      <c r="K52" s="31"/>
      <c r="L52" s="32"/>
      <c r="M52" s="47"/>
      <c r="N52" s="47"/>
    </row>
    <row r="53" spans="1:14" ht="21" thickTop="1" thickBot="1" x14ac:dyDescent="0.3">
      <c r="A53" s="47"/>
      <c r="B53" s="96"/>
      <c r="C53" s="75"/>
      <c r="D53" s="75"/>
      <c r="E53" s="76"/>
      <c r="F53" s="97"/>
      <c r="G53" s="75"/>
      <c r="H53" s="98"/>
      <c r="I53" s="77"/>
      <c r="J53" s="75"/>
      <c r="K53" s="78"/>
      <c r="L53" s="79"/>
      <c r="M53" s="47"/>
      <c r="N53" s="47"/>
    </row>
    <row r="54" spans="1:14" ht="49" customHeight="1" thickTop="1" x14ac:dyDescent="0.25">
      <c r="A54" s="47"/>
      <c r="B54" s="119" t="s">
        <v>76</v>
      </c>
      <c r="C54" s="7" t="s">
        <v>73</v>
      </c>
      <c r="D54" s="95"/>
      <c r="E54" s="102">
        <v>5.8999999999999997E-2</v>
      </c>
      <c r="F54" s="23"/>
      <c r="G54" s="7"/>
      <c r="H54" s="25"/>
      <c r="I54" s="22"/>
      <c r="J54" s="7"/>
      <c r="K54" s="31"/>
      <c r="L54" s="32"/>
      <c r="M54" s="47"/>
      <c r="N54" s="47"/>
    </row>
    <row r="55" spans="1:14" ht="19" x14ac:dyDescent="0.25">
      <c r="A55" s="47"/>
      <c r="B55" s="120"/>
      <c r="C55" s="7" t="s">
        <v>74</v>
      </c>
      <c r="D55" s="7"/>
      <c r="E55" s="34">
        <v>60</v>
      </c>
      <c r="F55" s="23"/>
      <c r="G55" s="7"/>
      <c r="H55" s="25"/>
      <c r="I55" s="22"/>
      <c r="J55" s="7"/>
      <c r="K55" s="31"/>
      <c r="L55" s="32"/>
      <c r="M55" s="47"/>
      <c r="N55" s="47"/>
    </row>
    <row r="56" spans="1:14" ht="20" thickBot="1" x14ac:dyDescent="0.3">
      <c r="A56" s="47"/>
      <c r="B56" s="121"/>
      <c r="C56" s="7" t="s">
        <v>75</v>
      </c>
      <c r="D56" s="6"/>
      <c r="E56" s="21"/>
      <c r="F56" s="23"/>
      <c r="G56" s="7"/>
      <c r="H56" s="25"/>
      <c r="I56" s="22"/>
      <c r="J56" s="7"/>
      <c r="K56" s="31">
        <f>(-PMT(E54/12,E55,(H40+H49))-((H40+H49)/E55))*E55</f>
        <v>4983.3202022722271</v>
      </c>
      <c r="L56" s="32"/>
      <c r="M56" s="47"/>
      <c r="N56" s="47"/>
    </row>
    <row r="57" spans="1:14" ht="21" thickTop="1" thickBot="1" x14ac:dyDescent="0.3">
      <c r="A57" s="47"/>
      <c r="B57" s="75"/>
      <c r="C57" s="75"/>
      <c r="D57" s="75"/>
      <c r="E57" s="76"/>
      <c r="F57" s="77"/>
      <c r="G57" s="75"/>
      <c r="H57" s="76"/>
      <c r="I57" s="77"/>
      <c r="J57" s="75"/>
      <c r="K57" s="78"/>
      <c r="L57" s="79"/>
      <c r="M57" s="47"/>
      <c r="N57" s="47"/>
    </row>
    <row r="58" spans="1:14" ht="91" customHeight="1" thickTop="1" x14ac:dyDescent="0.25">
      <c r="A58" s="47"/>
      <c r="B58" s="119" t="s">
        <v>58</v>
      </c>
      <c r="C58" s="7" t="s">
        <v>46</v>
      </c>
      <c r="D58" s="7"/>
      <c r="E58" s="21"/>
      <c r="F58" s="22"/>
      <c r="G58" s="7"/>
      <c r="H58" s="28">
        <f>H47+H52</f>
        <v>3.1481536897941725E-2</v>
      </c>
      <c r="I58" s="22"/>
      <c r="J58" s="7"/>
      <c r="K58" s="31"/>
      <c r="L58" s="32"/>
      <c r="M58" s="47"/>
      <c r="N58" s="47"/>
    </row>
    <row r="59" spans="1:14" ht="19" x14ac:dyDescent="0.25">
      <c r="A59" s="47"/>
      <c r="B59" s="120"/>
      <c r="C59" s="7" t="s">
        <v>55</v>
      </c>
      <c r="D59" s="7"/>
      <c r="E59" s="21"/>
      <c r="F59" s="22"/>
      <c r="G59" s="7"/>
      <c r="H59" s="27">
        <f>(H30*E25*E27)</f>
        <v>902259</v>
      </c>
      <c r="I59" s="22"/>
      <c r="J59" s="7"/>
      <c r="K59" s="31"/>
      <c r="L59" s="32"/>
      <c r="M59" s="47"/>
      <c r="N59" s="47"/>
    </row>
    <row r="60" spans="1:14" ht="20" thickBot="1" x14ac:dyDescent="0.3">
      <c r="A60" s="47"/>
      <c r="B60" s="121"/>
      <c r="C60" s="7" t="s">
        <v>54</v>
      </c>
      <c r="D60" s="7"/>
      <c r="E60" s="21"/>
      <c r="F60" s="22"/>
      <c r="G60" s="7"/>
      <c r="H60" s="21"/>
      <c r="I60" s="22"/>
      <c r="J60" s="7"/>
      <c r="K60" s="31">
        <f>H58*H59</f>
        <v>28404.500000000004</v>
      </c>
      <c r="L60" s="32"/>
      <c r="M60" s="47"/>
      <c r="N60" s="47"/>
    </row>
    <row r="61" spans="1:14" ht="20" thickTop="1" x14ac:dyDescent="0.25">
      <c r="A61" s="47"/>
      <c r="B61" s="74"/>
      <c r="C61" s="75"/>
      <c r="D61" s="75"/>
      <c r="E61" s="76"/>
      <c r="F61" s="77"/>
      <c r="G61" s="75"/>
      <c r="H61" s="76"/>
      <c r="I61" s="77"/>
      <c r="J61" s="75"/>
      <c r="K61" s="78"/>
      <c r="L61" s="79"/>
      <c r="M61" s="47"/>
      <c r="N61" s="47"/>
    </row>
    <row r="62" spans="1:14" ht="19" x14ac:dyDescent="0.25">
      <c r="A62" s="47"/>
      <c r="B62" s="74"/>
      <c r="C62" s="75"/>
      <c r="D62" s="75"/>
      <c r="E62" s="76"/>
      <c r="F62" s="77"/>
      <c r="G62" s="75"/>
      <c r="H62" s="76"/>
      <c r="I62" s="77"/>
      <c r="J62" s="75"/>
      <c r="K62" s="78"/>
      <c r="L62" s="79"/>
      <c r="M62" s="47"/>
      <c r="N62" s="47"/>
    </row>
    <row r="63" spans="1:14" ht="20" thickBot="1" x14ac:dyDescent="0.3">
      <c r="A63" s="47"/>
      <c r="B63" s="47"/>
      <c r="C63" s="47"/>
      <c r="D63" s="47"/>
      <c r="E63" s="80"/>
      <c r="F63" s="81"/>
      <c r="G63" s="47"/>
      <c r="H63" s="80"/>
      <c r="I63" s="81"/>
      <c r="J63" s="47"/>
      <c r="K63" s="63"/>
      <c r="L63" s="64"/>
      <c r="M63" s="47"/>
      <c r="N63" s="47"/>
    </row>
    <row r="64" spans="1:14" ht="19" customHeight="1" thickTop="1" x14ac:dyDescent="0.25">
      <c r="A64" s="47"/>
      <c r="B64" s="116" t="s">
        <v>17</v>
      </c>
      <c r="C64" s="3" t="s">
        <v>18</v>
      </c>
      <c r="D64" s="3"/>
      <c r="E64" s="33">
        <v>1.54</v>
      </c>
      <c r="F64" s="16"/>
      <c r="G64" s="4"/>
      <c r="H64" s="9"/>
      <c r="I64" s="10"/>
      <c r="J64" s="6"/>
      <c r="K64" s="29"/>
      <c r="L64" s="30"/>
      <c r="M64" s="47"/>
      <c r="N64" s="47"/>
    </row>
    <row r="65" spans="1:19" ht="19" x14ac:dyDescent="0.25">
      <c r="A65" s="47"/>
      <c r="B65" s="117"/>
      <c r="C65" s="3" t="s">
        <v>19</v>
      </c>
      <c r="D65" s="3"/>
      <c r="E65" s="9"/>
      <c r="F65" s="8"/>
      <c r="G65" s="4"/>
      <c r="H65" s="36">
        <v>0.22</v>
      </c>
      <c r="I65" s="10"/>
      <c r="J65" s="6"/>
      <c r="K65" s="29"/>
      <c r="L65" s="30"/>
      <c r="M65" s="47"/>
      <c r="N65" s="47"/>
    </row>
    <row r="66" spans="1:19" ht="19" x14ac:dyDescent="0.25">
      <c r="A66" s="47"/>
      <c r="B66" s="117"/>
      <c r="C66" s="3" t="s">
        <v>39</v>
      </c>
      <c r="D66" s="3"/>
      <c r="E66" s="9"/>
      <c r="F66" s="8"/>
      <c r="G66" s="4"/>
      <c r="H66" s="36">
        <v>0.04</v>
      </c>
      <c r="I66" s="10"/>
      <c r="J66" s="6"/>
      <c r="K66" s="29"/>
      <c r="L66" s="30"/>
      <c r="M66" s="47"/>
      <c r="N66" s="47"/>
    </row>
    <row r="67" spans="1:19" ht="19" x14ac:dyDescent="0.25">
      <c r="A67" s="47"/>
      <c r="B67" s="117"/>
      <c r="C67" s="3"/>
      <c r="D67" s="3"/>
      <c r="E67" s="11"/>
      <c r="F67" s="10"/>
      <c r="G67" s="3"/>
      <c r="H67" s="11"/>
      <c r="I67" s="10"/>
      <c r="J67" s="6"/>
      <c r="K67" s="29"/>
      <c r="L67" s="30"/>
      <c r="M67" s="47"/>
      <c r="N67" s="47"/>
      <c r="P67" s="108"/>
      <c r="Q67" s="108"/>
      <c r="R67" s="108"/>
      <c r="S67" s="108"/>
    </row>
    <row r="68" spans="1:19" ht="19" x14ac:dyDescent="0.25">
      <c r="A68" s="47"/>
      <c r="B68" s="117"/>
      <c r="C68" s="3" t="s">
        <v>20</v>
      </c>
      <c r="D68" s="3"/>
      <c r="E68" s="9">
        <f>E64*(E30/E24)</f>
        <v>0.38500000000000001</v>
      </c>
      <c r="F68" s="8"/>
      <c r="G68" s="4"/>
      <c r="H68" s="9">
        <f>H29*(H65-H66)</f>
        <v>0.21870000000000001</v>
      </c>
      <c r="I68" s="8"/>
      <c r="J68" s="5"/>
      <c r="K68" s="29"/>
      <c r="L68" s="30"/>
      <c r="M68" s="47"/>
      <c r="N68" s="47"/>
    </row>
    <row r="69" spans="1:19" ht="19" x14ac:dyDescent="0.25">
      <c r="A69" s="47"/>
      <c r="B69" s="117"/>
      <c r="C69" s="3" t="s">
        <v>24</v>
      </c>
      <c r="D69" s="3"/>
      <c r="E69" s="9">
        <f>E64*E30</f>
        <v>152.07500000000002</v>
      </c>
      <c r="F69" s="8"/>
      <c r="G69" s="4"/>
      <c r="H69" s="9">
        <f>H30*(H65-H66)</f>
        <v>86.386499999999998</v>
      </c>
      <c r="I69" s="8"/>
      <c r="J69" s="5"/>
      <c r="K69" s="29"/>
      <c r="L69" s="30"/>
      <c r="M69" s="47"/>
      <c r="N69" s="47"/>
    </row>
    <row r="70" spans="1:19" ht="19" x14ac:dyDescent="0.25">
      <c r="A70" s="47"/>
      <c r="B70" s="117"/>
      <c r="C70" s="3" t="s">
        <v>21</v>
      </c>
      <c r="D70" s="3"/>
      <c r="E70" s="9">
        <f>E64*E30*E25</f>
        <v>35737.625000000007</v>
      </c>
      <c r="F70" s="8"/>
      <c r="G70" s="4"/>
      <c r="H70" s="9">
        <f>(H65-H66)*H30*E25</f>
        <v>20300.827499999999</v>
      </c>
      <c r="I70" s="8"/>
      <c r="J70" s="5"/>
      <c r="K70" s="29"/>
      <c r="L70" s="30"/>
      <c r="M70" s="47"/>
      <c r="N70" s="47"/>
    </row>
    <row r="71" spans="1:19" ht="19" x14ac:dyDescent="0.25">
      <c r="A71" s="47"/>
      <c r="B71" s="117"/>
      <c r="C71" s="3" t="s">
        <v>22</v>
      </c>
      <c r="D71" s="3"/>
      <c r="E71" s="9">
        <f>E70*E27</f>
        <v>285901.00000000006</v>
      </c>
      <c r="F71" s="8"/>
      <c r="G71" s="4"/>
      <c r="H71" s="9">
        <f>H70*E27</f>
        <v>162406.62</v>
      </c>
      <c r="I71" s="8"/>
      <c r="J71" s="5"/>
      <c r="K71" s="29">
        <f>IF(E71-H71&lt;=0,(E71-H71)*-1,0)</f>
        <v>0</v>
      </c>
      <c r="L71" s="30">
        <f>IF(E71-H71&gt;=0,E71-H71,0)</f>
        <v>123494.38000000006</v>
      </c>
      <c r="M71" s="47"/>
      <c r="N71" s="47"/>
    </row>
    <row r="72" spans="1:19" ht="19" x14ac:dyDescent="0.25">
      <c r="A72" s="47"/>
      <c r="B72" s="117"/>
      <c r="C72" s="3"/>
      <c r="D72" s="3"/>
      <c r="E72" s="9"/>
      <c r="F72" s="8"/>
      <c r="G72" s="4"/>
      <c r="H72" s="9"/>
      <c r="I72" s="8"/>
      <c r="J72" s="5"/>
      <c r="K72" s="29"/>
      <c r="L72" s="30"/>
      <c r="M72" s="47"/>
      <c r="N72" s="47"/>
    </row>
    <row r="73" spans="1:19" ht="19" x14ac:dyDescent="0.25">
      <c r="A73" s="47"/>
      <c r="B73" s="117"/>
      <c r="C73" s="3" t="s">
        <v>59</v>
      </c>
      <c r="D73" s="3"/>
      <c r="E73" s="33">
        <v>0.13</v>
      </c>
      <c r="F73" s="8"/>
      <c r="G73" s="4"/>
      <c r="H73" s="9"/>
      <c r="I73" s="8"/>
      <c r="J73" s="5"/>
      <c r="K73" s="29"/>
      <c r="L73" s="30"/>
      <c r="M73" s="47"/>
      <c r="N73" s="47"/>
    </row>
    <row r="74" spans="1:19" ht="19" x14ac:dyDescent="0.25">
      <c r="A74" s="47"/>
      <c r="B74" s="117"/>
      <c r="C74" s="3" t="s">
        <v>60</v>
      </c>
      <c r="D74" s="3"/>
      <c r="E74" s="17">
        <f>((E23+E27)-D94)*(E25*E30)</f>
        <v>139237.5</v>
      </c>
      <c r="F74" s="8"/>
      <c r="G74" s="4"/>
      <c r="H74" s="9"/>
      <c r="I74" s="8"/>
      <c r="J74" s="5"/>
      <c r="K74" s="29"/>
      <c r="L74" s="30"/>
      <c r="M74" s="47"/>
      <c r="N74" s="47"/>
    </row>
    <row r="75" spans="1:19" ht="20" thickBot="1" x14ac:dyDescent="0.3">
      <c r="A75" s="47"/>
      <c r="B75" s="118"/>
      <c r="C75" s="3" t="s">
        <v>61</v>
      </c>
      <c r="D75" s="3"/>
      <c r="E75" s="9">
        <f>E73*E74</f>
        <v>18100.875</v>
      </c>
      <c r="F75" s="8"/>
      <c r="G75" s="4"/>
      <c r="H75" s="9"/>
      <c r="I75" s="8"/>
      <c r="J75" s="5"/>
      <c r="K75" s="29"/>
      <c r="L75" s="30">
        <f>E75</f>
        <v>18100.875</v>
      </c>
      <c r="M75" s="47"/>
      <c r="N75" s="47"/>
    </row>
    <row r="76" spans="1:19" ht="20" thickTop="1" x14ac:dyDescent="0.25">
      <c r="A76" s="47"/>
      <c r="B76" s="73"/>
      <c r="C76" s="91"/>
      <c r="D76" s="54"/>
      <c r="E76" s="70"/>
      <c r="F76" s="71"/>
      <c r="G76" s="55"/>
      <c r="H76" s="70"/>
      <c r="I76" s="71"/>
      <c r="J76" s="62"/>
      <c r="K76" s="63"/>
      <c r="L76" s="64"/>
      <c r="M76" s="47"/>
      <c r="N76" s="47"/>
    </row>
    <row r="77" spans="1:19" ht="19" x14ac:dyDescent="0.25">
      <c r="A77" s="47"/>
      <c r="B77" s="54"/>
      <c r="C77" s="91"/>
      <c r="D77" s="54"/>
      <c r="E77" s="70"/>
      <c r="F77" s="71"/>
      <c r="G77" s="55"/>
      <c r="H77" s="70"/>
      <c r="I77" s="71"/>
      <c r="J77" s="62"/>
      <c r="K77" s="63"/>
      <c r="L77" s="64"/>
      <c r="M77" s="47"/>
      <c r="N77" s="47"/>
    </row>
    <row r="78" spans="1:19" ht="20" thickBot="1" x14ac:dyDescent="0.3">
      <c r="A78" s="47"/>
      <c r="B78" s="54"/>
      <c r="C78" s="93" t="s">
        <v>62</v>
      </c>
      <c r="D78" s="54"/>
      <c r="E78" s="70"/>
      <c r="F78" s="71"/>
      <c r="G78" s="55"/>
      <c r="H78" s="70"/>
      <c r="I78" s="71"/>
      <c r="J78" s="62"/>
      <c r="K78" s="63"/>
      <c r="L78" s="64"/>
      <c r="M78" s="47"/>
      <c r="N78" s="47"/>
    </row>
    <row r="79" spans="1:19" ht="23.25" customHeight="1" thickTop="1" x14ac:dyDescent="0.25">
      <c r="A79" s="47"/>
      <c r="B79" s="116" t="s">
        <v>23</v>
      </c>
      <c r="C79" s="3" t="s">
        <v>20</v>
      </c>
      <c r="D79" s="3"/>
      <c r="E79" s="33">
        <v>0.05</v>
      </c>
      <c r="F79" s="8"/>
      <c r="G79" s="4"/>
      <c r="H79" s="18">
        <f>E79*0.9</f>
        <v>4.5000000000000005E-2</v>
      </c>
      <c r="I79" s="8"/>
      <c r="J79" s="5"/>
      <c r="K79" s="29"/>
      <c r="L79" s="30"/>
      <c r="M79" s="47"/>
      <c r="N79" s="47"/>
    </row>
    <row r="80" spans="1:19" ht="19" x14ac:dyDescent="0.25">
      <c r="A80" s="47"/>
      <c r="B80" s="117"/>
      <c r="C80" s="3" t="s">
        <v>24</v>
      </c>
      <c r="D80" s="3"/>
      <c r="E80" s="9">
        <f>E24*E79</f>
        <v>19.75</v>
      </c>
      <c r="F80" s="8"/>
      <c r="G80" s="4"/>
      <c r="H80" s="9">
        <f>H79*E24</f>
        <v>17.775000000000002</v>
      </c>
      <c r="I80" s="8"/>
      <c r="J80" s="5"/>
      <c r="K80" s="29"/>
      <c r="L80" s="30"/>
      <c r="M80" s="47"/>
      <c r="N80" s="47"/>
    </row>
    <row r="81" spans="1:14" ht="19" x14ac:dyDescent="0.25">
      <c r="A81" s="47"/>
      <c r="B81" s="117"/>
      <c r="C81" s="3" t="s">
        <v>21</v>
      </c>
      <c r="D81" s="3"/>
      <c r="E81" s="9">
        <f>E80*E25</f>
        <v>4641.25</v>
      </c>
      <c r="F81" s="8"/>
      <c r="G81" s="4"/>
      <c r="H81" s="9">
        <f>H80*E25</f>
        <v>4177.1250000000009</v>
      </c>
      <c r="I81" s="8"/>
      <c r="J81" s="5"/>
      <c r="K81" s="29"/>
      <c r="L81" s="30"/>
      <c r="M81" s="47"/>
      <c r="N81" s="47"/>
    </row>
    <row r="82" spans="1:14" ht="20" thickBot="1" x14ac:dyDescent="0.3">
      <c r="A82" s="47"/>
      <c r="B82" s="118"/>
      <c r="C82" s="3" t="s">
        <v>22</v>
      </c>
      <c r="D82" s="3"/>
      <c r="E82" s="9">
        <f>E81*E27</f>
        <v>37130</v>
      </c>
      <c r="F82" s="8"/>
      <c r="G82" s="4"/>
      <c r="H82" s="9">
        <f>H81*E27</f>
        <v>33417.000000000007</v>
      </c>
      <c r="I82" s="8"/>
      <c r="J82" s="5"/>
      <c r="K82" s="29"/>
      <c r="L82" s="30">
        <f>E82-H82</f>
        <v>3712.9999999999927</v>
      </c>
      <c r="M82" s="47"/>
      <c r="N82" s="47"/>
    </row>
    <row r="83" spans="1:14" ht="20" thickTop="1" x14ac:dyDescent="0.25">
      <c r="A83" s="47"/>
      <c r="B83" s="91"/>
      <c r="C83" s="93" t="s">
        <v>62</v>
      </c>
      <c r="D83" s="91"/>
      <c r="E83" s="70"/>
      <c r="F83" s="71"/>
      <c r="G83" s="55"/>
      <c r="H83" s="70"/>
      <c r="I83" s="71"/>
      <c r="J83" s="62"/>
      <c r="K83" s="63"/>
      <c r="L83" s="64"/>
      <c r="M83" s="47"/>
      <c r="N83" s="47"/>
    </row>
    <row r="84" spans="1:14" ht="19" x14ac:dyDescent="0.25">
      <c r="A84" s="47"/>
      <c r="B84" s="54"/>
      <c r="C84" s="54"/>
      <c r="D84" s="54"/>
      <c r="E84" s="70"/>
      <c r="F84" s="71"/>
      <c r="G84" s="55"/>
      <c r="H84" s="70"/>
      <c r="I84" s="71"/>
      <c r="J84" s="62"/>
      <c r="K84" s="63"/>
      <c r="L84" s="64"/>
      <c r="M84" s="47"/>
      <c r="N84" s="47"/>
    </row>
    <row r="85" spans="1:14" ht="20" thickBot="1" x14ac:dyDescent="0.3">
      <c r="A85" s="47"/>
      <c r="B85" s="54"/>
      <c r="C85" s="54"/>
      <c r="D85" s="54"/>
      <c r="E85" s="53"/>
      <c r="F85" s="72"/>
      <c r="G85" s="54"/>
      <c r="H85" s="53"/>
      <c r="I85" s="72"/>
      <c r="J85" s="47"/>
      <c r="K85" s="63"/>
      <c r="L85" s="64"/>
      <c r="M85" s="47"/>
      <c r="N85" s="47"/>
    </row>
    <row r="86" spans="1:14" ht="16" customHeight="1" thickTop="1" x14ac:dyDescent="0.25">
      <c r="A86" s="47"/>
      <c r="B86" s="116" t="s">
        <v>25</v>
      </c>
      <c r="C86" s="3" t="s">
        <v>26</v>
      </c>
      <c r="D86" s="3"/>
      <c r="E86" s="33">
        <v>2000</v>
      </c>
      <c r="F86" s="8"/>
      <c r="G86" s="4"/>
      <c r="H86" s="33">
        <v>2000</v>
      </c>
      <c r="I86" s="8"/>
      <c r="J86" s="5"/>
      <c r="K86" s="29"/>
      <c r="L86" s="30"/>
      <c r="M86" s="47"/>
      <c r="N86" s="47"/>
    </row>
    <row r="87" spans="1:14" ht="19" x14ac:dyDescent="0.25">
      <c r="A87" s="47"/>
      <c r="B87" s="117"/>
      <c r="C87" s="3" t="s">
        <v>27</v>
      </c>
      <c r="D87" s="3"/>
      <c r="E87" s="9">
        <f>IF(D94-E23&lt;=0,0,E86*(D94-E23))</f>
        <v>4000</v>
      </c>
      <c r="F87" s="8"/>
      <c r="G87" s="4"/>
      <c r="H87" s="9">
        <f>H86*(D94-E23)</f>
        <v>4000</v>
      </c>
      <c r="I87" s="8"/>
      <c r="J87" s="5"/>
      <c r="K87" s="29"/>
      <c r="L87" s="30">
        <f>E87-H87</f>
        <v>0</v>
      </c>
      <c r="M87" s="47"/>
      <c r="N87" s="47"/>
    </row>
    <row r="88" spans="1:14" ht="19" x14ac:dyDescent="0.25">
      <c r="A88" s="47"/>
      <c r="B88" s="117"/>
      <c r="C88" s="3"/>
      <c r="D88" s="3"/>
      <c r="E88" s="9"/>
      <c r="F88" s="8"/>
      <c r="G88" s="4"/>
      <c r="H88" s="9"/>
      <c r="I88" s="8"/>
      <c r="J88" s="5"/>
      <c r="K88" s="29"/>
      <c r="L88" s="30"/>
      <c r="M88" s="47"/>
      <c r="N88" s="47"/>
    </row>
    <row r="89" spans="1:14" ht="19" x14ac:dyDescent="0.25">
      <c r="A89" s="47"/>
      <c r="B89" s="117"/>
      <c r="C89" s="3" t="s">
        <v>28</v>
      </c>
      <c r="D89" s="3"/>
      <c r="E89" s="18">
        <v>0.17599999999999999</v>
      </c>
      <c r="F89" s="8"/>
      <c r="G89" s="4"/>
      <c r="H89" s="18">
        <v>3.5000000000000003E-2</v>
      </c>
      <c r="I89" s="8"/>
      <c r="J89" s="5"/>
      <c r="K89" s="29"/>
      <c r="L89" s="30"/>
      <c r="M89" s="47"/>
      <c r="N89" s="47"/>
    </row>
    <row r="90" spans="1:14" ht="19" x14ac:dyDescent="0.25">
      <c r="A90" s="47"/>
      <c r="B90" s="117"/>
      <c r="C90" s="3" t="s">
        <v>29</v>
      </c>
      <c r="D90" s="3"/>
      <c r="E90" s="9">
        <f>E89*E24*0.8</f>
        <v>55.616</v>
      </c>
      <c r="F90" s="8"/>
      <c r="G90" s="4"/>
      <c r="H90" s="9">
        <f>H89*E24*0.8</f>
        <v>11.060000000000002</v>
      </c>
      <c r="I90" s="8"/>
      <c r="J90" s="5"/>
      <c r="K90" s="29"/>
      <c r="L90" s="30"/>
      <c r="M90" s="47"/>
      <c r="N90" s="47"/>
    </row>
    <row r="91" spans="1:14" ht="19" x14ac:dyDescent="0.25">
      <c r="A91" s="47"/>
      <c r="B91" s="117"/>
      <c r="C91" s="3" t="s">
        <v>30</v>
      </c>
      <c r="D91" s="3"/>
      <c r="E91" s="9">
        <f>E90*E25</f>
        <v>13069.76</v>
      </c>
      <c r="F91" s="8"/>
      <c r="G91" s="4"/>
      <c r="H91" s="9">
        <f>H90*E25</f>
        <v>2599.1000000000004</v>
      </c>
      <c r="I91" s="8"/>
      <c r="J91" s="5"/>
      <c r="K91" s="29"/>
      <c r="L91" s="30"/>
      <c r="M91" s="47"/>
      <c r="N91" s="47"/>
    </row>
    <row r="92" spans="1:14" ht="20" thickBot="1" x14ac:dyDescent="0.3">
      <c r="A92" s="47"/>
      <c r="B92" s="118"/>
      <c r="C92" s="3" t="s">
        <v>31</v>
      </c>
      <c r="D92" s="3"/>
      <c r="E92" s="19">
        <f>IF(E23&lt;2027,E91*((E23+E27)-2027),(E27*E91))</f>
        <v>78418.559999999998</v>
      </c>
      <c r="F92" s="20"/>
      <c r="G92" s="4"/>
      <c r="H92" s="19">
        <f>H91*IF(E23&gt;=2027,E27,((E23+E27)-2027))</f>
        <v>15594.600000000002</v>
      </c>
      <c r="I92" s="20"/>
      <c r="J92" s="5"/>
      <c r="K92" s="29"/>
      <c r="L92" s="30">
        <f>E92-H92</f>
        <v>62823.959999999992</v>
      </c>
      <c r="M92" s="47"/>
      <c r="N92" s="47"/>
    </row>
    <row r="93" spans="1:14" ht="20" thickTop="1" x14ac:dyDescent="0.25">
      <c r="A93" s="47"/>
      <c r="B93" s="73"/>
      <c r="C93" s="54"/>
      <c r="D93" s="54"/>
      <c r="E93" s="55"/>
      <c r="F93" s="55"/>
      <c r="G93" s="55"/>
      <c r="H93" s="55"/>
      <c r="I93" s="55"/>
      <c r="J93" s="62"/>
      <c r="K93" s="63"/>
      <c r="L93" s="64"/>
      <c r="M93" s="47"/>
      <c r="N93" s="47"/>
    </row>
    <row r="94" spans="1:14" ht="20" thickBot="1" x14ac:dyDescent="0.3">
      <c r="A94" s="47"/>
      <c r="B94" s="91"/>
      <c r="C94" s="91" t="s">
        <v>63</v>
      </c>
      <c r="D94" s="91">
        <v>2027</v>
      </c>
      <c r="E94" s="92"/>
      <c r="F94" s="65"/>
      <c r="G94" s="62"/>
      <c r="H94" s="62"/>
      <c r="I94" s="62"/>
      <c r="J94" s="66" t="s">
        <v>32</v>
      </c>
      <c r="K94" s="67">
        <f>SUM(K13:K92)</f>
        <v>222760.9229027924</v>
      </c>
      <c r="L94" s="68">
        <f>SUM(L6:L92)</f>
        <v>208132.21500000005</v>
      </c>
      <c r="M94" s="47"/>
      <c r="N94" s="47"/>
    </row>
    <row r="95" spans="1:14" ht="17" thickTop="1" x14ac:dyDescent="0.2">
      <c r="A95" s="47"/>
      <c r="B95" s="91"/>
      <c r="C95" s="93" t="s">
        <v>62</v>
      </c>
      <c r="D95" s="91"/>
      <c r="E95" s="94"/>
      <c r="F95" s="61"/>
      <c r="G95" s="47"/>
      <c r="H95" s="47"/>
      <c r="I95" s="47"/>
      <c r="J95" s="47"/>
      <c r="K95" s="47"/>
      <c r="L95" s="47"/>
      <c r="M95" s="47"/>
      <c r="N95" s="47"/>
    </row>
    <row r="96" spans="1:14" ht="17" thickBot="1" x14ac:dyDescent="0.25">
      <c r="A96" s="47"/>
      <c r="B96" s="91"/>
      <c r="C96" s="91"/>
      <c r="D96" s="91"/>
      <c r="E96" s="91"/>
      <c r="F96" s="47"/>
      <c r="G96" s="47"/>
      <c r="H96" s="47"/>
      <c r="I96" s="47"/>
      <c r="J96" s="47"/>
      <c r="K96" s="47"/>
      <c r="L96" s="47"/>
      <c r="M96" s="47"/>
      <c r="N96" s="47"/>
    </row>
    <row r="97" spans="1:14" ht="28" thickTop="1" thickBot="1" x14ac:dyDescent="0.35">
      <c r="A97" s="47"/>
      <c r="B97" s="113" t="str">
        <f>IF(D97&gt;0,B109,B110)</f>
        <v>HET KOST</v>
      </c>
      <c r="C97" s="114"/>
      <c r="D97" s="37">
        <f>L94-K94</f>
        <v>-14628.707902792346</v>
      </c>
      <c r="E97" s="114" t="str">
        <f>IF(D97&gt;0,C109,C110)</f>
        <v>MEER OM MET EEN eTRUCK TE RIJDEN</v>
      </c>
      <c r="F97" s="114"/>
      <c r="G97" s="114"/>
      <c r="H97" s="114"/>
      <c r="I97" s="114"/>
      <c r="J97" s="114"/>
      <c r="K97" s="114"/>
      <c r="L97" s="115"/>
      <c r="M97" s="47"/>
      <c r="N97" s="47"/>
    </row>
    <row r="98" spans="1:14" ht="18" thickTop="1" thickBot="1" x14ac:dyDescent="0.25">
      <c r="A98" s="47"/>
      <c r="B98" s="47"/>
      <c r="C98" s="47"/>
      <c r="D98" s="47"/>
      <c r="E98" s="47"/>
      <c r="F98" s="47"/>
      <c r="G98" s="47"/>
      <c r="H98" s="47"/>
      <c r="I98" s="47"/>
      <c r="J98" s="47"/>
      <c r="K98" s="47"/>
      <c r="L98" s="47"/>
      <c r="M98" s="47"/>
      <c r="N98" s="47"/>
    </row>
    <row r="99" spans="1:14" ht="17" thickTop="1" x14ac:dyDescent="0.2">
      <c r="A99" s="47"/>
      <c r="B99" s="48"/>
      <c r="C99" s="49" t="str">
        <f>IF(D97&lt;0,B111,C111)</f>
        <v>Extra kosten:</v>
      </c>
      <c r="D99" s="50"/>
      <c r="E99" s="51"/>
      <c r="F99" s="51"/>
      <c r="G99" s="51"/>
      <c r="H99" s="51"/>
      <c r="I99" s="51"/>
      <c r="J99" s="51"/>
      <c r="K99" s="51"/>
      <c r="L99" s="52"/>
      <c r="M99" s="47"/>
      <c r="N99" s="47"/>
    </row>
    <row r="100" spans="1:14" x14ac:dyDescent="0.2">
      <c r="A100" s="47"/>
      <c r="B100" s="53"/>
      <c r="C100" s="54" t="s">
        <v>65</v>
      </c>
      <c r="D100" s="55">
        <f>D97</f>
        <v>-14628.707902792346</v>
      </c>
      <c r="E100" s="128"/>
      <c r="F100" s="128"/>
      <c r="G100" s="54"/>
      <c r="H100" s="54"/>
      <c r="I100" s="54"/>
      <c r="J100" s="56" t="s">
        <v>87</v>
      </c>
      <c r="K100" s="56"/>
      <c r="L100" s="57"/>
      <c r="M100" s="47"/>
      <c r="N100" s="47"/>
    </row>
    <row r="101" spans="1:14" x14ac:dyDescent="0.2">
      <c r="A101" s="47"/>
      <c r="B101" s="58"/>
      <c r="C101" s="54" t="s">
        <v>66</v>
      </c>
      <c r="D101" s="55">
        <f>D100/E27</f>
        <v>-1828.5884878490433</v>
      </c>
      <c r="E101" s="109"/>
      <c r="F101" s="109"/>
      <c r="G101" s="109"/>
      <c r="H101" s="109"/>
      <c r="I101" s="109"/>
      <c r="J101" s="130" t="s">
        <v>84</v>
      </c>
      <c r="K101" s="56"/>
      <c r="L101" s="57"/>
      <c r="M101" s="134" t="s">
        <v>83</v>
      </c>
      <c r="N101" s="47"/>
    </row>
    <row r="102" spans="1:14" x14ac:dyDescent="0.2">
      <c r="A102" s="47"/>
      <c r="B102" s="58"/>
      <c r="C102" s="54" t="s">
        <v>67</v>
      </c>
      <c r="D102" s="55">
        <f>D101/12</f>
        <v>-152.38237398742027</v>
      </c>
      <c r="E102" s="109"/>
      <c r="F102" s="109"/>
      <c r="G102" s="109"/>
      <c r="H102" s="109"/>
      <c r="I102" s="109"/>
      <c r="J102" s="56"/>
      <c r="K102" s="56"/>
      <c r="L102" s="57"/>
      <c r="M102" s="129"/>
      <c r="N102" s="47"/>
    </row>
    <row r="103" spans="1:14" x14ac:dyDescent="0.2">
      <c r="A103" s="47"/>
      <c r="B103" s="58"/>
      <c r="C103" s="54" t="s">
        <v>70</v>
      </c>
      <c r="D103" s="55">
        <f>D101/E25</f>
        <v>-7.7812276078682689</v>
      </c>
      <c r="E103" s="110"/>
      <c r="F103" s="110"/>
      <c r="G103" s="110"/>
      <c r="H103" s="110"/>
      <c r="I103" s="110"/>
      <c r="J103" s="110" t="s">
        <v>85</v>
      </c>
      <c r="K103" s="110"/>
      <c r="L103" s="131"/>
      <c r="M103" s="47"/>
      <c r="N103" s="47"/>
    </row>
    <row r="104" spans="1:14" x14ac:dyDescent="0.2">
      <c r="A104" s="47"/>
      <c r="B104" s="80"/>
      <c r="C104" s="124" t="s">
        <v>68</v>
      </c>
      <c r="D104" s="125">
        <f>D97/(E26*E27)</f>
        <v>-1.9699310399666506E-2</v>
      </c>
      <c r="E104" s="126"/>
      <c r="F104" s="126"/>
      <c r="G104" s="132"/>
      <c r="H104" s="132"/>
      <c r="I104" s="132"/>
      <c r="J104" s="135"/>
      <c r="K104" s="136"/>
      <c r="L104" s="137"/>
      <c r="M104" s="47"/>
      <c r="N104" s="47"/>
    </row>
    <row r="105" spans="1:14" x14ac:dyDescent="0.2">
      <c r="A105" s="47"/>
      <c r="B105" s="80"/>
      <c r="C105" s="124"/>
      <c r="D105" s="125"/>
      <c r="E105" s="126"/>
      <c r="F105" s="126"/>
      <c r="G105" s="133" t="s">
        <v>82</v>
      </c>
      <c r="H105" s="133"/>
      <c r="I105" s="133"/>
      <c r="J105" s="138" t="s">
        <v>86</v>
      </c>
      <c r="K105" s="138"/>
      <c r="L105" s="139"/>
      <c r="M105" s="47"/>
      <c r="N105" s="47"/>
    </row>
    <row r="106" spans="1:14" ht="17" thickBot="1" x14ac:dyDescent="0.25">
      <c r="A106" s="47"/>
      <c r="B106" s="59"/>
      <c r="C106" s="60"/>
      <c r="D106" s="60"/>
      <c r="E106" s="60"/>
      <c r="F106" s="60"/>
      <c r="G106" s="127"/>
      <c r="H106" s="127"/>
      <c r="I106" s="127"/>
      <c r="J106" s="140" t="s">
        <v>83</v>
      </c>
      <c r="K106" s="140"/>
      <c r="L106" s="141"/>
      <c r="M106" s="47"/>
      <c r="N106" s="47"/>
    </row>
    <row r="107" spans="1:14" s="2" customFormat="1" ht="17" thickTop="1" x14ac:dyDescent="0.2">
      <c r="A107" s="47"/>
      <c r="B107" s="47"/>
      <c r="C107" s="47"/>
      <c r="D107" s="47"/>
      <c r="E107" s="47"/>
      <c r="F107" s="47"/>
      <c r="G107" s="47"/>
      <c r="H107" s="47"/>
      <c r="I107" s="47"/>
      <c r="J107" s="47"/>
      <c r="K107" s="47"/>
      <c r="L107" s="47"/>
      <c r="M107" s="47"/>
      <c r="N107" s="47"/>
    </row>
    <row r="108" spans="1:14" s="2" customFormat="1" x14ac:dyDescent="0.2">
      <c r="A108" s="47"/>
      <c r="B108" s="47"/>
      <c r="C108" s="47"/>
      <c r="D108" s="47"/>
      <c r="E108" s="47"/>
      <c r="F108" s="47"/>
      <c r="G108" s="47"/>
      <c r="H108" s="47"/>
      <c r="I108" s="47"/>
      <c r="J108" s="47"/>
      <c r="K108" s="47"/>
      <c r="L108" s="47"/>
      <c r="M108" s="47"/>
      <c r="N108" s="47"/>
    </row>
    <row r="109" spans="1:14" hidden="1" outlineLevel="1" x14ac:dyDescent="0.2">
      <c r="B109" s="1" t="s">
        <v>33</v>
      </c>
      <c r="C109" s="1" t="s">
        <v>72</v>
      </c>
    </row>
    <row r="110" spans="1:14" hidden="1" outlineLevel="1" x14ac:dyDescent="0.2">
      <c r="B110" s="1" t="s">
        <v>34</v>
      </c>
      <c r="C110" s="1" t="s">
        <v>71</v>
      </c>
    </row>
    <row r="111" spans="1:14" hidden="1" outlineLevel="1" x14ac:dyDescent="0.2">
      <c r="B111" s="1" t="s">
        <v>64</v>
      </c>
      <c r="C111" s="1" t="s">
        <v>69</v>
      </c>
    </row>
    <row r="112" spans="1:14" hidden="1" outlineLevel="1" x14ac:dyDescent="0.2">
      <c r="B112" s="122">
        <v>0</v>
      </c>
      <c r="C112" s="122">
        <v>0.36</v>
      </c>
    </row>
    <row r="113" spans="2:3" hidden="1" outlineLevel="1" x14ac:dyDescent="0.2">
      <c r="B113" s="122">
        <v>0</v>
      </c>
      <c r="C113" s="122">
        <v>0.45</v>
      </c>
    </row>
    <row r="114" spans="2:3" hidden="1" outlineLevel="1" x14ac:dyDescent="0.2"/>
    <row r="115" spans="2:3" hidden="1" outlineLevel="1" x14ac:dyDescent="0.2"/>
    <row r="116" spans="2:3" collapsed="1" x14ac:dyDescent="0.2"/>
  </sheetData>
  <sheetProtection algorithmName="SHA-512" hashValue="brsr6gp8DFG9rMhpyKv4U+6Z6MAW30iGhFMJAVE9zrRvji/gcB74jWb/XDu8Ur4abTD+vHpuKPvGLSbjsvOmAg==" saltValue="3cxBNS7g4/p1Omh7MmkuMg==" spinCount="100000" sheet="1" selectLockedCells="1"/>
  <protectedRanges>
    <protectedRange algorithmName="SHA-512" hashValue="MumcvOIvI4neEyRaYUVCpuNGskusqGfCQXdb6oAFeRSt/+O6oJacZy73XRJUo89/pBMVilTJdrX9/c82W3km9g==" saltValue="TRkvzC1o6Jiz5q/8yNsPVg==" spinCount="100000" sqref="F46:H46 F47:G47 C49:D50 C58:D58 H49:H50 F58:H58 F49:G56 C64:H65 B23:C23 K57:K65 J94:J100 B19:XFD22 B3:F18 B107:L1048576 F43:H44 C46:D46 B1:XFD1 C43:D44 C24:D32 C34:D40 K34:K55 I34:J65 A1:A32 B25:B32 G2:XFD18 F24:F32 E23:E32 G23:XFD32 F34:H40 L34:XFD65 C66:XFD93 A34:A1048576 B34:B105 J102:J104 M94:XFD1048576 K94:L105 C94:I105" name="Bereik1"/>
  </protectedRanges>
  <mergeCells count="23">
    <mergeCell ref="G106:I106"/>
    <mergeCell ref="J103:L103"/>
    <mergeCell ref="G104:I104"/>
    <mergeCell ref="G105:I105"/>
    <mergeCell ref="J106:L106"/>
    <mergeCell ref="J105:L105"/>
    <mergeCell ref="B86:B92"/>
    <mergeCell ref="B97:C97"/>
    <mergeCell ref="E97:L97"/>
    <mergeCell ref="B7:B13"/>
    <mergeCell ref="B79:B82"/>
    <mergeCell ref="B34:B47"/>
    <mergeCell ref="B49:B52"/>
    <mergeCell ref="B58:B60"/>
    <mergeCell ref="B23:B30"/>
    <mergeCell ref="B64:B75"/>
    <mergeCell ref="B15:B17"/>
    <mergeCell ref="B54:B56"/>
    <mergeCell ref="E101:I102"/>
    <mergeCell ref="E103:I103"/>
    <mergeCell ref="E4:F4"/>
    <mergeCell ref="H4:I4"/>
    <mergeCell ref="K4:L4"/>
  </mergeCells>
  <conditionalFormatting sqref="D97">
    <cfRule type="cellIs" dxfId="5" priority="5" operator="lessThan">
      <formula>0</formula>
    </cfRule>
    <cfRule type="cellIs" dxfId="4" priority="6" operator="greaterThanOrEqual">
      <formula>0</formula>
    </cfRule>
  </conditionalFormatting>
  <conditionalFormatting sqref="K1 K7:K32 K34:K71 K77:K94">
    <cfRule type="cellIs" dxfId="3" priority="4" operator="greaterThan">
      <formula>1</formula>
    </cfRule>
  </conditionalFormatting>
  <conditionalFormatting sqref="K71 K94">
    <cfRule type="cellIs" dxfId="2" priority="3" operator="greaterThanOrEqual">
      <formula>0</formula>
    </cfRule>
  </conditionalFormatting>
  <conditionalFormatting sqref="L1 L6:L32 L34:L94">
    <cfRule type="cellIs" dxfId="1" priority="2" operator="greaterThan">
      <formula>0</formula>
    </cfRule>
  </conditionalFormatting>
  <conditionalFormatting sqref="L87">
    <cfRule type="cellIs" dxfId="0" priority="1" operator="greaterThanOrEqual">
      <formula>0</formula>
    </cfRule>
  </conditionalFormatting>
  <dataValidations count="1">
    <dataValidation type="list" allowBlank="1" showInputMessage="1" showErrorMessage="1" sqref="I9" xr:uid="{9937CA94-A5C5-4043-A732-D225FD9D8439}">
      <formula1>$B$112:$C$112</formula1>
    </dataValidation>
  </dataValidations>
  <hyperlinks>
    <hyperlink ref="C95" r:id="rId1" xr:uid="{A95CFC24-02AB-504C-9EF8-9C6C56AA024B}"/>
    <hyperlink ref="C83" r:id="rId2" xr:uid="{BC31BA0F-0F5E-D940-BBDF-786839329C97}"/>
    <hyperlink ref="C78" r:id="rId3" xr:uid="{AF9FD682-122F-4447-A5C0-3CFCB1569124}"/>
    <hyperlink ref="M101" r:id="rId4" xr:uid="{60688E8D-7F44-454A-ABBA-DA7DBE9BEA6F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35" orientation="portrait" horizontalDpi="0" verticalDpi="0"/>
  <rowBreaks count="2" manualBreakCount="2">
    <brk id="31" max="16383" man="1"/>
    <brk id="32" max="16383" man="1"/>
  </rowBreaks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2</vt:i4>
      </vt:variant>
    </vt:vector>
  </HeadingPairs>
  <TitlesOfParts>
    <vt:vector size="3" baseType="lpstr">
      <vt:lpstr>Kosten rekentool</vt:lpstr>
      <vt:lpstr>'Kosten rekentool'!Afdrukbereik</vt:lpstr>
      <vt:lpstr>Selectie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Johnny</dc:creator>
  <cp:keywords/>
  <dc:description/>
  <cp:lastModifiedBy>Johnny Nijenhuis</cp:lastModifiedBy>
  <cp:revision/>
  <cp:lastPrinted>2024-05-27T08:34:16Z</cp:lastPrinted>
  <dcterms:created xsi:type="dcterms:W3CDTF">2022-06-24T13:03:59Z</dcterms:created>
  <dcterms:modified xsi:type="dcterms:W3CDTF">2024-08-13T13:04:05Z</dcterms:modified>
  <cp:category/>
  <cp:contentStatus/>
</cp:coreProperties>
</file>